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Oliver Lopez\SyncedFolder\Team Shares\Grants\2025 RAISE MaineDOT - Brunswick\BCA\"/>
    </mc:Choice>
  </mc:AlternateContent>
  <xr:revisionPtr revIDLastSave="0" documentId="8_{7DF59743-3287-4C21-9A45-52A00DE9A14E}" xr6:coauthVersionLast="47" xr6:coauthVersionMax="47" xr10:uidLastSave="{00000000-0000-0000-0000-000000000000}"/>
  <bookViews>
    <workbookView xWindow="-110" yWindow="-110" windowWidth="19420" windowHeight="10300" activeTab="4" xr2:uid="{F359A226-429B-4B39-ADCF-FA4E6BC947FC}"/>
  </bookViews>
  <sheets>
    <sheet name="Overview" sheetId="1" r:id="rId1"/>
    <sheet name="Project Information" sheetId="28" r:id="rId2"/>
    <sheet name="Parameter Values" sheetId="12" r:id="rId3"/>
    <sheet name="Inputs" sheetId="36" r:id="rId4"/>
    <sheet name="Outputs" sheetId="37" r:id="rId5"/>
    <sheet name="User Volumes" sheetId="34" r:id="rId6"/>
    <sheet name="Capital Costs" sheetId="2" r:id="rId7"/>
    <sheet name="Operations and Maintenance" sheetId="3" r:id="rId8"/>
    <sheet name="Safety" sheetId="31" r:id="rId9"/>
    <sheet name="Travel Time Savings" sheetId="32" r:id="rId10"/>
    <sheet name="Vehicle Operating Cost Savings" sheetId="33" r:id="rId11"/>
    <sheet name="Emissions Reduction" sheetId="20" r:id="rId12"/>
    <sheet name="Amenity Benefits" sheetId="21" r:id="rId13"/>
    <sheet name="Health Benefits" sheetId="22" r:id="rId14"/>
    <sheet name="Summary" sheetId="11" r:id="rId15"/>
    <sheet name="Final Results" sheetId="30" r:id="rId16"/>
    <sheet name="Other Highway Use Externalities" sheetId="35" r:id="rId17"/>
    <sheet name="Residual Value" sheetId="23" r:id="rId18"/>
    <sheet name="Other Benefit 1" sheetId="24" r:id="rId19"/>
    <sheet name="Other Benefit 2" sheetId="25" r:id="rId20"/>
    <sheet name="Other Benefit 3" sheetId="26" r:id="rId21"/>
    <sheet name="Other Benefit 4" sheetId="27" r:id="rId22"/>
  </sheets>
  <externalReferences>
    <externalReference r:id="rId23"/>
    <externalReference r:id="rId24"/>
    <externalReference r:id="rId25"/>
    <externalReference r:id="rId26"/>
  </externalReferences>
  <definedNames>
    <definedName name="ColumnTitle1">#REF!</definedName>
    <definedName name="ColumnTitleRegion11..B26.1">[1]Proposal!#REF!</definedName>
    <definedName name="ColumnTitleRegion12..B28.1">[1]Proposal!#REF!</definedName>
    <definedName name="ColumnTitleRegion13..B30.1">[1]Proposal!#REF!</definedName>
    <definedName name="ColumnTitleRegion14..D33">[1]Proposal!#REF!</definedName>
    <definedName name="ColumnTitleRegion8..B20.1">[1]Proposal!#REF!</definedName>
    <definedName name="Description">[2]Pricing!$A$3:$A$249</definedName>
    <definedName name="Equip">#REF!</definedName>
    <definedName name="Equip2">#REF!</definedName>
    <definedName name="Equipment">#REF!</definedName>
    <definedName name="faf">#REF!</definedName>
    <definedName name="FML">[3]Sheet2!$A$42:$A$66</definedName>
    <definedName name="IType">'[4]Construction - Do Not Delete'!$D$29:$D$31</definedName>
    <definedName name="Labour">#REF!</definedName>
    <definedName name="Labour2">#REF!</definedName>
    <definedName name="Labour3">#REF!</definedName>
    <definedName name="Material">[2]Pricing!$A$3:$J$249</definedName>
    <definedName name="Other">[1]Proposal!$E$39</definedName>
    <definedName name="RowTitleRegion1..G35">#REF!</definedName>
    <definedName name="Subtotal">#REF!</definedName>
    <definedName name="TaxRate">[1]Proposal!#REF!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34" l="1"/>
  <c r="F10" i="34"/>
  <c r="D33" i="36"/>
  <c r="E15" i="36" l="1"/>
  <c r="K33" i="31" l="1"/>
  <c r="K32" i="31"/>
  <c r="K31" i="31"/>
  <c r="K30" i="31"/>
  <c r="K29" i="31"/>
  <c r="K28" i="31"/>
  <c r="K45" i="31"/>
  <c r="I51" i="32"/>
  <c r="I49" i="32"/>
  <c r="L28" i="31" l="1"/>
  <c r="L30" i="31"/>
  <c r="E34" i="36" l="1"/>
  <c r="I39" i="32" s="1"/>
  <c r="I40" i="32" s="1"/>
  <c r="I47" i="32"/>
  <c r="I48" i="32" s="1"/>
  <c r="I50" i="32" s="1"/>
  <c r="L10" i="34" l="1"/>
  <c r="M10" i="34"/>
  <c r="C26" i="33" l="1"/>
  <c r="E33" i="20"/>
  <c r="C33" i="20"/>
  <c r="B26" i="33"/>
  <c r="B33" i="20"/>
  <c r="D33" i="20"/>
  <c r="C20" i="32"/>
  <c r="M11" i="34"/>
  <c r="B20" i="32"/>
  <c r="L11" i="34"/>
  <c r="C27" i="33" l="1"/>
  <c r="E34" i="20"/>
  <c r="C34" i="20"/>
  <c r="B27" i="33"/>
  <c r="D34" i="20"/>
  <c r="B34" i="20"/>
  <c r="B21" i="32"/>
  <c r="L12" i="34"/>
  <c r="C21" i="32"/>
  <c r="M12" i="34"/>
  <c r="B28" i="33" l="1"/>
  <c r="D35" i="20"/>
  <c r="B35" i="20"/>
  <c r="C28" i="33"/>
  <c r="E35" i="20"/>
  <c r="C35" i="20"/>
  <c r="M13" i="34"/>
  <c r="C22" i="32"/>
  <c r="L13" i="34"/>
  <c r="B22" i="32"/>
  <c r="C29" i="33" l="1"/>
  <c r="E36" i="20"/>
  <c r="C36" i="20"/>
  <c r="B29" i="33"/>
  <c r="D36" i="20"/>
  <c r="B36" i="20"/>
  <c r="L14" i="34"/>
  <c r="B23" i="32"/>
  <c r="M14" i="34"/>
  <c r="C23" i="32"/>
  <c r="B30" i="33" l="1"/>
  <c r="B37" i="20"/>
  <c r="D37" i="20"/>
  <c r="C30" i="33"/>
  <c r="C37" i="20"/>
  <c r="E37" i="20"/>
  <c r="M15" i="34"/>
  <c r="C24" i="32"/>
  <c r="L15" i="34"/>
  <c r="B24" i="32"/>
  <c r="C31" i="33" l="1"/>
  <c r="E38" i="20"/>
  <c r="C38" i="20"/>
  <c r="B31" i="33"/>
  <c r="D38" i="20"/>
  <c r="B38" i="20"/>
  <c r="L16" i="34"/>
  <c r="B25" i="32"/>
  <c r="M16" i="34"/>
  <c r="C25" i="32"/>
  <c r="E23" i="36"/>
  <c r="E22" i="36"/>
  <c r="E21" i="36"/>
  <c r="K42" i="31"/>
  <c r="L42" i="31"/>
  <c r="K41" i="31"/>
  <c r="I31" i="31"/>
  <c r="U31" i="31"/>
  <c r="U32" i="31" s="1"/>
  <c r="I33" i="31" s="1"/>
  <c r="T31" i="31"/>
  <c r="T32" i="31" s="1"/>
  <c r="I28" i="31" s="1"/>
  <c r="S31" i="31"/>
  <c r="S32" i="31" s="1"/>
  <c r="I29" i="31" s="1"/>
  <c r="R31" i="31"/>
  <c r="R32" i="31" s="1"/>
  <c r="I30" i="31" s="1"/>
  <c r="Q31" i="31"/>
  <c r="Q32" i="31" s="1"/>
  <c r="V30" i="31"/>
  <c r="W30" i="31" s="1"/>
  <c r="V29" i="31"/>
  <c r="W29" i="31" s="1"/>
  <c r="V28" i="31"/>
  <c r="W28" i="31" s="1"/>
  <c r="V27" i="31"/>
  <c r="W27" i="31" s="1"/>
  <c r="V26" i="31"/>
  <c r="W26" i="31" s="1"/>
  <c r="V25" i="31"/>
  <c r="W25" i="31" s="1"/>
  <c r="V24" i="31"/>
  <c r="B32" i="33" l="1"/>
  <c r="D39" i="20"/>
  <c r="B39" i="20"/>
  <c r="C32" i="33"/>
  <c r="E39" i="20"/>
  <c r="C39" i="20"/>
  <c r="M17" i="34"/>
  <c r="C26" i="32"/>
  <c r="L17" i="34"/>
  <c r="B26" i="32"/>
  <c r="V31" i="31"/>
  <c r="W31" i="31" s="1"/>
  <c r="W24" i="31"/>
  <c r="C33" i="33" l="1"/>
  <c r="C40" i="20"/>
  <c r="E40" i="20"/>
  <c r="B33" i="33"/>
  <c r="D40" i="20"/>
  <c r="B40" i="20"/>
  <c r="L18" i="34"/>
  <c r="B27" i="32"/>
  <c r="M18" i="34"/>
  <c r="C27" i="32"/>
  <c r="V32" i="31"/>
  <c r="W32" i="31" s="1"/>
  <c r="B34" i="33" l="1"/>
  <c r="D41" i="20"/>
  <c r="B41" i="20"/>
  <c r="C34" i="33"/>
  <c r="E41" i="20"/>
  <c r="C41" i="20"/>
  <c r="M19" i="34"/>
  <c r="C28" i="32"/>
  <c r="L19" i="34"/>
  <c r="B28" i="32"/>
  <c r="C35" i="33" l="1"/>
  <c r="E42" i="20"/>
  <c r="C42" i="20"/>
  <c r="B35" i="33"/>
  <c r="D42" i="20"/>
  <c r="B42" i="20"/>
  <c r="L20" i="34"/>
  <c r="B29" i="32"/>
  <c r="M20" i="34"/>
  <c r="C29" i="32"/>
  <c r="B36" i="33" l="1"/>
  <c r="D43" i="20"/>
  <c r="B43" i="20"/>
  <c r="C36" i="33"/>
  <c r="E43" i="20"/>
  <c r="C43" i="20"/>
  <c r="M21" i="34"/>
  <c r="C30" i="32"/>
  <c r="L21" i="34"/>
  <c r="B30" i="32"/>
  <c r="C37" i="33" l="1"/>
  <c r="E44" i="20"/>
  <c r="C44" i="20"/>
  <c r="B37" i="33"/>
  <c r="B44" i="20"/>
  <c r="D44" i="20"/>
  <c r="L22" i="34"/>
  <c r="B31" i="32"/>
  <c r="M22" i="34"/>
  <c r="C31" i="32"/>
  <c r="M39" i="31"/>
  <c r="M40" i="31"/>
  <c r="M42" i="31" s="1"/>
  <c r="M41" i="31"/>
  <c r="M38" i="31"/>
  <c r="B38" i="33" l="1"/>
  <c r="D45" i="20"/>
  <c r="B45" i="20"/>
  <c r="C38" i="33"/>
  <c r="C45" i="20"/>
  <c r="E45" i="20"/>
  <c r="M23" i="34"/>
  <c r="C32" i="32"/>
  <c r="L23" i="34"/>
  <c r="B32" i="32"/>
  <c r="E14" i="36"/>
  <c r="C39" i="33" l="1"/>
  <c r="E46" i="20"/>
  <c r="C46" i="20"/>
  <c r="B39" i="33"/>
  <c r="B46" i="20"/>
  <c r="D46" i="20"/>
  <c r="L24" i="34"/>
  <c r="B33" i="32"/>
  <c r="M24" i="34"/>
  <c r="C33" i="32"/>
  <c r="I29" i="32"/>
  <c r="I33" i="32" s="1"/>
  <c r="I28" i="32"/>
  <c r="I30" i="32" s="1"/>
  <c r="G18" i="21"/>
  <c r="L33" i="31"/>
  <c r="L27" i="31"/>
  <c r="B40" i="33" l="1"/>
  <c r="D47" i="20"/>
  <c r="B47" i="20"/>
  <c r="C40" i="33"/>
  <c r="E47" i="20"/>
  <c r="C47" i="20"/>
  <c r="M25" i="34"/>
  <c r="C34" i="32"/>
  <c r="L25" i="34"/>
  <c r="B34" i="32"/>
  <c r="I31" i="32"/>
  <c r="I32" i="32"/>
  <c r="C41" i="33" l="1"/>
  <c r="E48" i="20"/>
  <c r="C48" i="20"/>
  <c r="B41" i="33"/>
  <c r="D48" i="20"/>
  <c r="B48" i="20"/>
  <c r="L26" i="34"/>
  <c r="B35" i="32"/>
  <c r="M26" i="34"/>
  <c r="C35" i="32"/>
  <c r="E19" i="36"/>
  <c r="I10" i="34" s="1"/>
  <c r="E18" i="36"/>
  <c r="G10" i="34" s="1"/>
  <c r="E17" i="36"/>
  <c r="B42" i="33" l="1"/>
  <c r="D49" i="20"/>
  <c r="B49" i="20"/>
  <c r="C42" i="33"/>
  <c r="E49" i="20"/>
  <c r="C49" i="20"/>
  <c r="M27" i="34"/>
  <c r="C36" i="32"/>
  <c r="L27" i="34"/>
  <c r="B36" i="32"/>
  <c r="C43" i="33" l="1"/>
  <c r="C50" i="20"/>
  <c r="E50" i="20"/>
  <c r="B43" i="33"/>
  <c r="D50" i="20"/>
  <c r="B50" i="20"/>
  <c r="L28" i="34"/>
  <c r="B37" i="32"/>
  <c r="M28" i="34"/>
  <c r="C37" i="32"/>
  <c r="F24" i="21"/>
  <c r="F30" i="21"/>
  <c r="G30" i="21"/>
  <c r="G24" i="21"/>
  <c r="G37" i="21"/>
  <c r="G17" i="21"/>
  <c r="B44" i="33" l="1"/>
  <c r="D51" i="20"/>
  <c r="B51" i="20"/>
  <c r="C44" i="33"/>
  <c r="E51" i="20"/>
  <c r="C51" i="20"/>
  <c r="M29" i="34"/>
  <c r="C38" i="32"/>
  <c r="L29" i="34"/>
  <c r="B38" i="32"/>
  <c r="G19" i="21"/>
  <c r="D16" i="23"/>
  <c r="D15" i="23"/>
  <c r="D14" i="23"/>
  <c r="D13" i="23"/>
  <c r="D12" i="23"/>
  <c r="C11" i="20"/>
  <c r="C12" i="20"/>
  <c r="C13" i="20"/>
  <c r="C14" i="20"/>
  <c r="C15" i="20"/>
  <c r="C16" i="20"/>
  <c r="C17" i="20"/>
  <c r="C18" i="20"/>
  <c r="C10" i="20"/>
  <c r="H36" i="11"/>
  <c r="L36" i="11"/>
  <c r="M36" i="11"/>
  <c r="N36" i="11"/>
  <c r="O36" i="11"/>
  <c r="D11" i="23"/>
  <c r="C45" i="33" l="1"/>
  <c r="E52" i="20"/>
  <c r="C52" i="20"/>
  <c r="B45" i="33"/>
  <c r="D52" i="20"/>
  <c r="B52" i="20"/>
  <c r="B39" i="32"/>
  <c r="C39" i="32"/>
  <c r="G23" i="21"/>
  <c r="G25" i="21" s="1"/>
  <c r="G31" i="21"/>
  <c r="H11" i="34"/>
  <c r="H12" i="34" s="1"/>
  <c r="H13" i="34" s="1"/>
  <c r="H14" i="34" s="1"/>
  <c r="H15" i="34" s="1"/>
  <c r="H16" i="34" s="1"/>
  <c r="H17" i="34" s="1"/>
  <c r="H18" i="34" s="1"/>
  <c r="H19" i="34" s="1"/>
  <c r="H20" i="34" s="1"/>
  <c r="H21" i="34" s="1"/>
  <c r="H22" i="34" s="1"/>
  <c r="H23" i="34" s="1"/>
  <c r="H24" i="34" s="1"/>
  <c r="H25" i="34" s="1"/>
  <c r="H26" i="34" s="1"/>
  <c r="H27" i="34" s="1"/>
  <c r="H28" i="34" s="1"/>
  <c r="H29" i="34" s="1"/>
  <c r="B10" i="2"/>
  <c r="B9" i="2"/>
  <c r="A10" i="1"/>
  <c r="G33" i="21" l="1"/>
  <c r="F11" i="34"/>
  <c r="C10" i="34"/>
  <c r="E24" i="36"/>
  <c r="B11" i="2"/>
  <c r="I11" i="34"/>
  <c r="I12" i="34" s="1"/>
  <c r="I13" i="34" s="1"/>
  <c r="I14" i="34" s="1"/>
  <c r="I15" i="34" s="1"/>
  <c r="I16" i="34" s="1"/>
  <c r="I17" i="34" s="1"/>
  <c r="I18" i="34" s="1"/>
  <c r="I19" i="34" s="1"/>
  <c r="I20" i="34" s="1"/>
  <c r="I21" i="34" s="1"/>
  <c r="I22" i="34" s="1"/>
  <c r="I23" i="34" s="1"/>
  <c r="I24" i="34" s="1"/>
  <c r="I25" i="34" s="1"/>
  <c r="I26" i="34" s="1"/>
  <c r="I27" i="34" s="1"/>
  <c r="I28" i="34" s="1"/>
  <c r="I29" i="34" s="1"/>
  <c r="D17" i="23"/>
  <c r="A11" i="22"/>
  <c r="A10" i="22"/>
  <c r="B18" i="20"/>
  <c r="B15" i="20"/>
  <c r="B12" i="20"/>
  <c r="B27" i="20"/>
  <c r="C27" i="20"/>
  <c r="B28" i="20"/>
  <c r="C28" i="20"/>
  <c r="B29" i="20"/>
  <c r="C29" i="20"/>
  <c r="C26" i="20"/>
  <c r="B26" i="20"/>
  <c r="B22" i="20"/>
  <c r="C22" i="20"/>
  <c r="B23" i="20"/>
  <c r="C23" i="20"/>
  <c r="B24" i="20"/>
  <c r="C24" i="20"/>
  <c r="C21"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J33" i="31" l="1"/>
  <c r="M33" i="31"/>
  <c r="C11" i="34"/>
  <c r="C12" i="34" s="1"/>
  <c r="G38" i="21"/>
  <c r="G39" i="21" s="1"/>
  <c r="F12" i="34"/>
  <c r="G11" i="34"/>
  <c r="B9" i="22"/>
  <c r="C9" i="22"/>
  <c r="C8" i="22"/>
  <c r="B15" i="22" s="1"/>
  <c r="B8" i="22"/>
  <c r="B9" i="33"/>
  <c r="B8" i="33"/>
  <c r="G41" i="21" l="1"/>
  <c r="F13" i="34"/>
  <c r="B16" i="22"/>
  <c r="J7" i="11" s="1"/>
  <c r="C13" i="34"/>
  <c r="G12" i="34"/>
  <c r="B7" i="31"/>
  <c r="B8" i="32"/>
  <c r="B9" i="32"/>
  <c r="B10" i="32"/>
  <c r="I46" i="32" s="1"/>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9" i="32"/>
  <c r="D35" i="11" s="1"/>
  <c r="D48" i="32"/>
  <c r="D34" i="11" s="1"/>
  <c r="D47" i="32"/>
  <c r="D33" i="11" s="1"/>
  <c r="D46" i="32"/>
  <c r="D32" i="11" s="1"/>
  <c r="D45" i="32"/>
  <c r="D31" i="11" s="1"/>
  <c r="D44" i="32"/>
  <c r="D30" i="11" s="1"/>
  <c r="D43" i="32"/>
  <c r="D29" i="11" s="1"/>
  <c r="D42" i="32"/>
  <c r="D28" i="11" s="1"/>
  <c r="D41" i="32"/>
  <c r="D27" i="11" s="1"/>
  <c r="D40" i="32"/>
  <c r="D26" i="11" s="1"/>
  <c r="D42" i="31"/>
  <c r="C26" i="11" s="1"/>
  <c r="D43" i="31"/>
  <c r="C27" i="11" s="1"/>
  <c r="D44" i="31"/>
  <c r="C28" i="11" s="1"/>
  <c r="D45" i="31"/>
  <c r="C29" i="11" s="1"/>
  <c r="D46" i="31"/>
  <c r="C30" i="11" s="1"/>
  <c r="D47" i="31"/>
  <c r="C31" i="11" s="1"/>
  <c r="D48" i="31"/>
  <c r="C32" i="11" s="1"/>
  <c r="D49" i="31"/>
  <c r="C33" i="11" s="1"/>
  <c r="D50" i="31"/>
  <c r="C34" i="11" s="1"/>
  <c r="D51" i="31"/>
  <c r="C35" i="11" s="1"/>
  <c r="A9" i="2"/>
  <c r="C9" i="2"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L22" i="11"/>
  <c r="M22" i="11"/>
  <c r="N22" i="11"/>
  <c r="O22" i="11"/>
  <c r="L23" i="11"/>
  <c r="M23" i="11"/>
  <c r="N23" i="11"/>
  <c r="O23" i="11"/>
  <c r="L24" i="11"/>
  <c r="M24" i="11"/>
  <c r="N24" i="11"/>
  <c r="O24"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L7" i="11"/>
  <c r="M7" i="11"/>
  <c r="N7" i="11"/>
  <c r="O7" i="11"/>
  <c r="L8" i="11"/>
  <c r="M8" i="11"/>
  <c r="N8" i="11"/>
  <c r="O8" i="11"/>
  <c r="L9" i="11"/>
  <c r="M9" i="11"/>
  <c r="N9" i="11"/>
  <c r="O9" i="11"/>
  <c r="L10" i="11"/>
  <c r="M10" i="11"/>
  <c r="N10" i="11"/>
  <c r="O10" i="11"/>
  <c r="L11" i="11"/>
  <c r="M11" i="11"/>
  <c r="N11" i="11"/>
  <c r="O11" i="11"/>
  <c r="L12" i="11"/>
  <c r="M12" i="11"/>
  <c r="N12" i="11"/>
  <c r="O12" i="11"/>
  <c r="L13" i="11"/>
  <c r="M13" i="11"/>
  <c r="N13" i="11"/>
  <c r="O13" i="11"/>
  <c r="L14" i="11"/>
  <c r="M14" i="11"/>
  <c r="N14" i="11"/>
  <c r="O14" i="11"/>
  <c r="L15" i="11"/>
  <c r="M15" i="11"/>
  <c r="N15" i="11"/>
  <c r="O15" i="11"/>
  <c r="L16" i="11"/>
  <c r="M16" i="11"/>
  <c r="N16" i="11"/>
  <c r="O16" i="11"/>
  <c r="L17" i="11"/>
  <c r="M17" i="11"/>
  <c r="N17" i="11"/>
  <c r="O17" i="11"/>
  <c r="L18" i="11"/>
  <c r="M18" i="11"/>
  <c r="N18" i="11"/>
  <c r="O18" i="11"/>
  <c r="L19" i="11"/>
  <c r="M19" i="11"/>
  <c r="N19" i="11"/>
  <c r="O19" i="11"/>
  <c r="L20" i="11"/>
  <c r="M20" i="11"/>
  <c r="N20" i="11"/>
  <c r="O20" i="11"/>
  <c r="L21" i="11"/>
  <c r="M21" i="11"/>
  <c r="N21" i="11"/>
  <c r="O21" i="11"/>
  <c r="O5" i="11"/>
  <c r="O6" i="11"/>
  <c r="N5" i="11"/>
  <c r="N6" i="11"/>
  <c r="M5" i="11"/>
  <c r="M6" i="11"/>
  <c r="L5" i="11"/>
  <c r="L6" i="11"/>
  <c r="J6" i="11"/>
  <c r="I34" i="32" l="1"/>
  <c r="I37" i="32"/>
  <c r="I35" i="32"/>
  <c r="I36" i="32"/>
  <c r="J28" i="31"/>
  <c r="J32" i="31"/>
  <c r="J27" i="31"/>
  <c r="M27" i="31"/>
  <c r="J31" i="31"/>
  <c r="J30" i="31"/>
  <c r="J29" i="31"/>
  <c r="B12" i="21"/>
  <c r="I7" i="11" s="1"/>
  <c r="B11" i="21"/>
  <c r="I6" i="11" s="1"/>
  <c r="B13" i="21"/>
  <c r="I8" i="11" s="1"/>
  <c r="B36" i="11"/>
  <c r="D5" i="37" s="1"/>
  <c r="F14" i="34"/>
  <c r="B17" i="22"/>
  <c r="J8" i="11" s="1"/>
  <c r="C14" i="34"/>
  <c r="G13" i="34"/>
  <c r="A20" i="32"/>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8" i="3"/>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8" i="26"/>
  <c r="A9" i="26" s="1"/>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8" i="25"/>
  <c r="A9" i="25" s="1"/>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8" i="24"/>
  <c r="A9" i="24" s="1"/>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23" i="23"/>
  <c r="A24" i="23" s="1"/>
  <c r="B24" i="23" s="1"/>
  <c r="A15" i="22"/>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11" i="21"/>
  <c r="A12" i="21" s="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20" i="35"/>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33" i="20"/>
  <c r="R33" i="20" s="1"/>
  <c r="A26" i="33"/>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22" i="3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B41" i="11"/>
  <c r="A41" i="11"/>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10" i="2"/>
  <c r="C10" i="2" s="1"/>
  <c r="B42" i="11" s="1"/>
  <c r="J34" i="31" l="1"/>
  <c r="B22" i="31" s="1"/>
  <c r="B23" i="31" s="1"/>
  <c r="B14" i="21"/>
  <c r="I9" i="11" s="1"/>
  <c r="M37" i="11"/>
  <c r="L37" i="11"/>
  <c r="O37" i="11"/>
  <c r="N37" i="11"/>
  <c r="D20" i="32"/>
  <c r="D6" i="11" s="1"/>
  <c r="F15" i="34"/>
  <c r="B18" i="22"/>
  <c r="J9" i="11" s="1"/>
  <c r="C15" i="34"/>
  <c r="G14" i="34"/>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B23" i="23"/>
  <c r="B37" i="11"/>
  <c r="E5" i="37" s="1"/>
  <c r="H37" i="11"/>
  <c r="A42" i="11"/>
  <c r="A43" i="11" s="1"/>
  <c r="A44" i="11" s="1"/>
  <c r="A45" i="11" s="1"/>
  <c r="A46" i="11" s="1"/>
  <c r="A47" i="11" s="1"/>
  <c r="A48" i="11" s="1"/>
  <c r="A49" i="11" s="1"/>
  <c r="A50" i="11" s="1"/>
  <c r="A51" i="11" s="1"/>
  <c r="A52" i="11" s="1"/>
  <c r="A53" i="11" s="1"/>
  <c r="C41" i="11"/>
  <c r="A25" i="23"/>
  <c r="B25" i="23" s="1"/>
  <c r="Q33" i="20"/>
  <c r="O33" i="20"/>
  <c r="P33" i="20"/>
  <c r="A11" i="2"/>
  <c r="C11" i="2" s="1"/>
  <c r="B24" i="31" l="1"/>
  <c r="B15" i="21"/>
  <c r="I10" i="11" s="1"/>
  <c r="O35" i="20"/>
  <c r="D21" i="32"/>
  <c r="D7" i="11" s="1"/>
  <c r="F16" i="34"/>
  <c r="B19" i="22"/>
  <c r="J10" i="11" s="1"/>
  <c r="C16" i="34"/>
  <c r="G15" i="34"/>
  <c r="B43" i="11"/>
  <c r="C43" i="11" s="1"/>
  <c r="C42" i="11"/>
  <c r="A26" i="23"/>
  <c r="B26" i="23" s="1"/>
  <c r="K7" i="11"/>
  <c r="K6" i="11"/>
  <c r="A12" i="2"/>
  <c r="A13" i="2" s="1"/>
  <c r="Q34" i="20"/>
  <c r="R35" i="20"/>
  <c r="Q35" i="20"/>
  <c r="O34" i="20"/>
  <c r="R34" i="20"/>
  <c r="P34" i="20"/>
  <c r="P35" i="20"/>
  <c r="Q36" i="20"/>
  <c r="A54" i="11"/>
  <c r="B25" i="31" l="1"/>
  <c r="B16" i="21"/>
  <c r="I11" i="11" s="1"/>
  <c r="D22" i="32"/>
  <c r="D8" i="11" s="1"/>
  <c r="F17" i="34"/>
  <c r="B20" i="22"/>
  <c r="J11" i="11" s="1"/>
  <c r="C17" i="34"/>
  <c r="G16" i="34"/>
  <c r="C12" i="2"/>
  <c r="B44" i="11" s="1"/>
  <c r="C44" i="11" s="1"/>
  <c r="A27" i="23"/>
  <c r="B27" i="23" s="1"/>
  <c r="P36" i="20"/>
  <c r="O37" i="20"/>
  <c r="O36" i="20"/>
  <c r="R36" i="20"/>
  <c r="A55" i="11"/>
  <c r="A14" i="2"/>
  <c r="C13" i="2"/>
  <c r="B45" i="11" s="1"/>
  <c r="C45" i="11" s="1"/>
  <c r="B26" i="31" l="1"/>
  <c r="B17" i="21"/>
  <c r="I12" i="11" s="1"/>
  <c r="D23" i="32"/>
  <c r="D9" i="11" s="1"/>
  <c r="B21" i="22"/>
  <c r="J12" i="11" s="1"/>
  <c r="F18" i="34"/>
  <c r="C18" i="34"/>
  <c r="G17" i="34"/>
  <c r="A28" i="23"/>
  <c r="B28" i="23" s="1"/>
  <c r="K8" i="11"/>
  <c r="K9" i="11"/>
  <c r="O38" i="20"/>
  <c r="Q37" i="20"/>
  <c r="R37" i="20"/>
  <c r="P37" i="20"/>
  <c r="A15" i="2"/>
  <c r="C14" i="2"/>
  <c r="B46" i="11" s="1"/>
  <c r="C46" i="11" s="1"/>
  <c r="B27" i="31" l="1"/>
  <c r="B18" i="21"/>
  <c r="I13" i="11" s="1"/>
  <c r="D24" i="32"/>
  <c r="D10" i="11" s="1"/>
  <c r="F19" i="34"/>
  <c r="C19" i="34"/>
  <c r="B22" i="22"/>
  <c r="J13" i="11" s="1"/>
  <c r="G18" i="34"/>
  <c r="A29" i="23"/>
  <c r="B29" i="23" s="1"/>
  <c r="K10" i="11"/>
  <c r="P39" i="20"/>
  <c r="P38" i="20"/>
  <c r="Q38" i="20"/>
  <c r="R38" i="20"/>
  <c r="A16" i="2"/>
  <c r="C15" i="2"/>
  <c r="B47" i="11" s="1"/>
  <c r="C47" i="11" s="1"/>
  <c r="B28" i="31" l="1"/>
  <c r="B19" i="21"/>
  <c r="I14" i="11" s="1"/>
  <c r="D25" i="32"/>
  <c r="D11" i="11" s="1"/>
  <c r="F20" i="34"/>
  <c r="C20" i="34"/>
  <c r="B23" i="22"/>
  <c r="J14" i="11" s="1"/>
  <c r="G19" i="34"/>
  <c r="A30" i="23"/>
  <c r="B30" i="23" s="1"/>
  <c r="R40" i="20"/>
  <c r="O39" i="20"/>
  <c r="R39" i="20"/>
  <c r="Q39" i="20"/>
  <c r="Q40" i="20"/>
  <c r="A17" i="2"/>
  <c r="C16" i="2"/>
  <c r="B48" i="11" s="1"/>
  <c r="C48" i="11" s="1"/>
  <c r="B29" i="31" l="1"/>
  <c r="B20" i="21"/>
  <c r="I15" i="11" s="1"/>
  <c r="D26" i="32"/>
  <c r="D12" i="11" s="1"/>
  <c r="F21" i="34"/>
  <c r="C21" i="34"/>
  <c r="B24" i="22"/>
  <c r="J15" i="11" s="1"/>
  <c r="G20" i="34"/>
  <c r="A31" i="23"/>
  <c r="B31" i="23" s="1"/>
  <c r="K11" i="11"/>
  <c r="K12" i="11"/>
  <c r="P40" i="20"/>
  <c r="O40" i="20"/>
  <c r="O41" i="20"/>
  <c r="P41" i="20"/>
  <c r="R41" i="20"/>
  <c r="Q41" i="20"/>
  <c r="A18" i="2"/>
  <c r="C17" i="2"/>
  <c r="B49" i="11" s="1"/>
  <c r="C49" i="11" s="1"/>
  <c r="B30" i="31" l="1"/>
  <c r="B21" i="21"/>
  <c r="I16" i="11" s="1"/>
  <c r="D27" i="32"/>
  <c r="D13" i="11" s="1"/>
  <c r="F22" i="34"/>
  <c r="B25" i="22"/>
  <c r="J16" i="11" s="1"/>
  <c r="C22" i="34"/>
  <c r="G21" i="34"/>
  <c r="A32" i="23"/>
  <c r="B32" i="23" s="1"/>
  <c r="K13" i="11"/>
  <c r="O42" i="20"/>
  <c r="P42" i="20"/>
  <c r="Q42" i="20"/>
  <c r="R42" i="20"/>
  <c r="A19" i="2"/>
  <c r="C18" i="2"/>
  <c r="B50" i="11" s="1"/>
  <c r="C50" i="11" s="1"/>
  <c r="B31" i="31" l="1"/>
  <c r="B22" i="21"/>
  <c r="I17" i="11" s="1"/>
  <c r="D28" i="32"/>
  <c r="D14" i="11" s="1"/>
  <c r="F23" i="34"/>
  <c r="C23" i="34"/>
  <c r="B26" i="22"/>
  <c r="J17" i="11" s="1"/>
  <c r="G22" i="34"/>
  <c r="A33" i="23"/>
  <c r="B33" i="23" s="1"/>
  <c r="K14" i="11"/>
  <c r="O43" i="20"/>
  <c r="P43" i="20"/>
  <c r="Q43" i="20"/>
  <c r="R43" i="20"/>
  <c r="A20" i="2"/>
  <c r="C19" i="2"/>
  <c r="B51" i="11" s="1"/>
  <c r="C51" i="11" s="1"/>
  <c r="B32" i="31" l="1"/>
  <c r="B23" i="21"/>
  <c r="I18" i="11" s="1"/>
  <c r="D29" i="32"/>
  <c r="D15" i="11" s="1"/>
  <c r="F24" i="34"/>
  <c r="B27" i="22"/>
  <c r="J18" i="11" s="1"/>
  <c r="C24" i="34"/>
  <c r="G23" i="34"/>
  <c r="A34" i="23"/>
  <c r="B34" i="23" s="1"/>
  <c r="K15" i="11"/>
  <c r="O44" i="20"/>
  <c r="P44" i="20"/>
  <c r="Q44" i="20"/>
  <c r="R44" i="20"/>
  <c r="A21" i="2"/>
  <c r="C20" i="2"/>
  <c r="B52" i="11" s="1"/>
  <c r="C52" i="11" s="1"/>
  <c r="B33" i="31" l="1"/>
  <c r="B24" i="21"/>
  <c r="I19" i="11" s="1"/>
  <c r="D30" i="32"/>
  <c r="D16" i="11" s="1"/>
  <c r="F25" i="34"/>
  <c r="C25" i="34"/>
  <c r="B28" i="22"/>
  <c r="J19" i="11" s="1"/>
  <c r="G24" i="34"/>
  <c r="A35" i="23"/>
  <c r="B35" i="23" s="1"/>
  <c r="K16" i="11"/>
  <c r="O45" i="20"/>
  <c r="P45" i="20"/>
  <c r="R45" i="20"/>
  <c r="Q45" i="20"/>
  <c r="A22" i="2"/>
  <c r="C21" i="2"/>
  <c r="B53" i="11" s="1"/>
  <c r="C53" i="11" s="1"/>
  <c r="B34" i="31" l="1"/>
  <c r="B25" i="21"/>
  <c r="I20" i="11" s="1"/>
  <c r="D31" i="32"/>
  <c r="D17" i="11" s="1"/>
  <c r="F26" i="34"/>
  <c r="B29" i="22"/>
  <c r="J20" i="11" s="1"/>
  <c r="C26" i="34"/>
  <c r="G25" i="34"/>
  <c r="A36" i="23"/>
  <c r="B36" i="23" s="1"/>
  <c r="K17" i="11"/>
  <c r="O46" i="20"/>
  <c r="P46" i="20"/>
  <c r="Q46" i="20"/>
  <c r="R46" i="20"/>
  <c r="A23" i="2"/>
  <c r="C23" i="2" s="1"/>
  <c r="C22" i="2"/>
  <c r="B54" i="11" s="1"/>
  <c r="C54" i="11" s="1"/>
  <c r="B35" i="31" l="1"/>
  <c r="B26" i="21"/>
  <c r="I21" i="11" s="1"/>
  <c r="D32" i="32"/>
  <c r="D18" i="11" s="1"/>
  <c r="F27" i="34"/>
  <c r="C27" i="34"/>
  <c r="B30" i="22"/>
  <c r="J21" i="11" s="1"/>
  <c r="G26" i="34"/>
  <c r="B55" i="11"/>
  <c r="B11" i="23"/>
  <c r="A37" i="23"/>
  <c r="B37" i="23" s="1"/>
  <c r="K18" i="11"/>
  <c r="O47" i="20"/>
  <c r="P47" i="20"/>
  <c r="Q47" i="20"/>
  <c r="R47" i="20"/>
  <c r="B36" i="31" l="1"/>
  <c r="B27" i="21"/>
  <c r="I22" i="11" s="1"/>
  <c r="D33" i="32"/>
  <c r="D19" i="11" s="1"/>
  <c r="F28" i="34"/>
  <c r="B31" i="22"/>
  <c r="J22" i="11" s="1"/>
  <c r="C28" i="34"/>
  <c r="G27" i="34"/>
  <c r="C55" i="11"/>
  <c r="C56" i="11" s="1"/>
  <c r="E4" i="37" s="1"/>
  <c r="B56" i="11"/>
  <c r="A38" i="23"/>
  <c r="B38" i="23" s="1"/>
  <c r="K19" i="11"/>
  <c r="O48" i="20"/>
  <c r="P48" i="20"/>
  <c r="Q48" i="20"/>
  <c r="R48" i="20"/>
  <c r="B37" i="31" l="1"/>
  <c r="C4" i="37"/>
  <c r="C12" i="37" s="1"/>
  <c r="B28" i="21"/>
  <c r="I23" i="11" s="1"/>
  <c r="D34" i="32"/>
  <c r="D20" i="11" s="1"/>
  <c r="F29" i="34"/>
  <c r="B32" i="22"/>
  <c r="J23" i="11" s="1"/>
  <c r="C29" i="34"/>
  <c r="G28" i="34"/>
  <c r="A39" i="23"/>
  <c r="B39" i="23" s="1"/>
  <c r="K20" i="11"/>
  <c r="O49" i="20"/>
  <c r="P49" i="20"/>
  <c r="R49" i="20"/>
  <c r="Q49" i="20"/>
  <c r="B38" i="31" l="1"/>
  <c r="B29" i="21"/>
  <c r="I24" i="11" s="1"/>
  <c r="D35" i="32"/>
  <c r="D21" i="11" s="1"/>
  <c r="B33" i="22"/>
  <c r="J24" i="11" s="1"/>
  <c r="G29" i="34"/>
  <c r="A40" i="23"/>
  <c r="B40" i="23" s="1"/>
  <c r="K21" i="11"/>
  <c r="O50" i="20"/>
  <c r="P50" i="20"/>
  <c r="Q50" i="20"/>
  <c r="R50" i="20"/>
  <c r="B6" i="30"/>
  <c r="B39" i="31" l="1"/>
  <c r="B30" i="21"/>
  <c r="I25" i="11" s="1"/>
  <c r="D36" i="32"/>
  <c r="D22" i="11" s="1"/>
  <c r="B34" i="22"/>
  <c r="J25" i="11" s="1"/>
  <c r="A41" i="23"/>
  <c r="B41" i="23" s="1"/>
  <c r="K22" i="11"/>
  <c r="P51" i="20"/>
  <c r="O51" i="20"/>
  <c r="Q51" i="20"/>
  <c r="R51" i="20"/>
  <c r="B40" i="31" l="1"/>
  <c r="D37" i="32"/>
  <c r="D23" i="11" s="1"/>
  <c r="I37" i="11"/>
  <c r="E10" i="37" s="1"/>
  <c r="I36" i="11"/>
  <c r="D10" i="37" s="1"/>
  <c r="J37" i="11"/>
  <c r="E11" i="37" s="1"/>
  <c r="J36" i="11"/>
  <c r="D11" i="37" s="1"/>
  <c r="A42" i="23"/>
  <c r="B42" i="23" s="1"/>
  <c r="K23" i="11"/>
  <c r="O52" i="20"/>
  <c r="P52" i="20"/>
  <c r="Q52" i="20"/>
  <c r="R52" i="20"/>
  <c r="B41" i="31" l="1"/>
  <c r="D39" i="32"/>
  <c r="D25" i="11" s="1"/>
  <c r="D38" i="32"/>
  <c r="D24" i="11" s="1"/>
  <c r="A43" i="23"/>
  <c r="B43" i="23" s="1"/>
  <c r="K24" i="11"/>
  <c r="P53" i="20"/>
  <c r="R53" i="20"/>
  <c r="Q53" i="20"/>
  <c r="O53" i="20"/>
  <c r="D36" i="11" l="1"/>
  <c r="D7" i="37" s="1"/>
  <c r="D37" i="11"/>
  <c r="E7" i="37" s="1"/>
  <c r="A44" i="23"/>
  <c r="B44" i="23" s="1"/>
  <c r="K25" i="11"/>
  <c r="T53" i="20"/>
  <c r="G26" i="11" s="1"/>
  <c r="S53" i="20"/>
  <c r="F26" i="11" s="1"/>
  <c r="O54" i="20"/>
  <c r="P54" i="20"/>
  <c r="Q54" i="20"/>
  <c r="R54" i="20"/>
  <c r="A45" i="23" l="1"/>
  <c r="B45" i="23" s="1"/>
  <c r="K26" i="11"/>
  <c r="P26" i="11" s="1"/>
  <c r="Q26" i="11" s="1"/>
  <c r="S54" i="20"/>
  <c r="F27" i="11" s="1"/>
  <c r="T54" i="20"/>
  <c r="G27" i="11" s="1"/>
  <c r="O55" i="20"/>
  <c r="P55" i="20"/>
  <c r="Q55" i="20"/>
  <c r="R55" i="20"/>
  <c r="A46" i="23" l="1"/>
  <c r="B46" i="23" s="1"/>
  <c r="K27" i="11"/>
  <c r="P27" i="11" s="1"/>
  <c r="Q27" i="11" s="1"/>
  <c r="S55" i="20"/>
  <c r="F28" i="11" s="1"/>
  <c r="T55" i="20"/>
  <c r="G28" i="11" s="1"/>
  <c r="O56" i="20"/>
  <c r="P56" i="20"/>
  <c r="Q56" i="20"/>
  <c r="R56" i="20"/>
  <c r="A47" i="23" l="1"/>
  <c r="B47" i="23" s="1"/>
  <c r="K28" i="11"/>
  <c r="P28" i="11" s="1"/>
  <c r="Q28" i="11" s="1"/>
  <c r="T56" i="20"/>
  <c r="G29" i="11" s="1"/>
  <c r="S56" i="20"/>
  <c r="F29" i="11" s="1"/>
  <c r="O57" i="20"/>
  <c r="P57" i="20"/>
  <c r="R57" i="20"/>
  <c r="Q57" i="20"/>
  <c r="A48" i="23" l="1"/>
  <c r="B48" i="23" s="1"/>
  <c r="K29" i="11"/>
  <c r="P29" i="11" s="1"/>
  <c r="Q29" i="11" s="1"/>
  <c r="S57" i="20"/>
  <c r="F30" i="11" s="1"/>
  <c r="T57" i="20"/>
  <c r="G30" i="11" s="1"/>
  <c r="O58" i="20"/>
  <c r="P58" i="20"/>
  <c r="Q58" i="20"/>
  <c r="R58" i="20"/>
  <c r="A49" i="23" l="1"/>
  <c r="B49" i="23" s="1"/>
  <c r="K30" i="11"/>
  <c r="P30" i="11" s="1"/>
  <c r="Q30" i="11" s="1"/>
  <c r="S58" i="20"/>
  <c r="F31" i="11" s="1"/>
  <c r="T58" i="20"/>
  <c r="G31" i="11" s="1"/>
  <c r="O59" i="20"/>
  <c r="P59" i="20"/>
  <c r="Q59" i="20"/>
  <c r="R59" i="20"/>
  <c r="A50" i="23" l="1"/>
  <c r="B50" i="23" s="1"/>
  <c r="K31" i="11"/>
  <c r="P31" i="11" s="1"/>
  <c r="Q31" i="11" s="1"/>
  <c r="S59" i="20"/>
  <c r="F32" i="11" s="1"/>
  <c r="T59" i="20"/>
  <c r="G32" i="11" s="1"/>
  <c r="O60" i="20"/>
  <c r="P60" i="20"/>
  <c r="Q60" i="20"/>
  <c r="R60" i="20"/>
  <c r="A51" i="23" l="1"/>
  <c r="B51" i="23" s="1"/>
  <c r="K32" i="11"/>
  <c r="P32" i="11" s="1"/>
  <c r="Q32" i="11" s="1"/>
  <c r="S60" i="20"/>
  <c r="F33" i="11" s="1"/>
  <c r="T60" i="20"/>
  <c r="G33" i="11" s="1"/>
  <c r="O61" i="20"/>
  <c r="P61" i="20"/>
  <c r="R61" i="20"/>
  <c r="Q61" i="20"/>
  <c r="A52" i="23" l="1"/>
  <c r="B52" i="23" s="1"/>
  <c r="K33" i="11"/>
  <c r="P33" i="11" s="1"/>
  <c r="Q33" i="11" s="1"/>
  <c r="S61" i="20"/>
  <c r="F34" i="11" s="1"/>
  <c r="T61" i="20"/>
  <c r="G34" i="11" s="1"/>
  <c r="O62" i="20"/>
  <c r="P62" i="20"/>
  <c r="Q62" i="20"/>
  <c r="R62" i="20"/>
  <c r="K34" i="11" l="1"/>
  <c r="P34" i="11" s="1"/>
  <c r="Q34" i="11" s="1"/>
  <c r="S62" i="20"/>
  <c r="F35" i="11" s="1"/>
  <c r="T62" i="20"/>
  <c r="G35" i="11" s="1"/>
  <c r="K35" i="11" l="1"/>
  <c r="K37" i="11" l="1"/>
  <c r="K36" i="11"/>
  <c r="P35" i="11"/>
  <c r="Q35" i="11" l="1"/>
  <c r="B10" i="34"/>
  <c r="D26" i="33" l="1"/>
  <c r="B11" i="34"/>
  <c r="E6" i="11" l="1"/>
  <c r="H27" i="33"/>
  <c r="S33" i="20"/>
  <c r="F6" i="11" s="1"/>
  <c r="T33" i="20"/>
  <c r="AB34" i="20" s="1"/>
  <c r="T34" i="20"/>
  <c r="G7" i="11" s="1"/>
  <c r="B12" i="34"/>
  <c r="S34" i="20"/>
  <c r="F7" i="11" s="1"/>
  <c r="D27" i="33"/>
  <c r="E7" i="11" s="1"/>
  <c r="G6" i="11" l="1"/>
  <c r="T35" i="20"/>
  <c r="G8" i="11" s="1"/>
  <c r="D28" i="33"/>
  <c r="E8" i="11" s="1"/>
  <c r="B13" i="34"/>
  <c r="S35" i="20"/>
  <c r="F8" i="11" s="1"/>
  <c r="B14" i="34" l="1"/>
  <c r="S36" i="20"/>
  <c r="F9" i="11" s="1"/>
  <c r="T36" i="20"/>
  <c r="G9" i="11" s="1"/>
  <c r="D29" i="33"/>
  <c r="E9" i="11" s="1"/>
  <c r="D30" i="33" l="1"/>
  <c r="E10" i="11" s="1"/>
  <c r="S37" i="20"/>
  <c r="F10" i="11" s="1"/>
  <c r="B15" i="34"/>
  <c r="T37" i="20"/>
  <c r="G10" i="11" s="1"/>
  <c r="D31" i="33" l="1"/>
  <c r="E11" i="11" s="1"/>
  <c r="B16" i="34"/>
  <c r="S38" i="20"/>
  <c r="F11" i="11" s="1"/>
  <c r="T38" i="20"/>
  <c r="G11" i="11" s="1"/>
  <c r="D32" i="33" l="1"/>
  <c r="E12" i="11" s="1"/>
  <c r="S39" i="20"/>
  <c r="F12" i="11" s="1"/>
  <c r="T39" i="20"/>
  <c r="G12" i="11" s="1"/>
  <c r="B17" i="34"/>
  <c r="S40" i="20" l="1"/>
  <c r="F13" i="11" s="1"/>
  <c r="B18" i="34"/>
  <c r="T40" i="20"/>
  <c r="G13" i="11" s="1"/>
  <c r="D33" i="33"/>
  <c r="E13" i="11" s="1"/>
  <c r="B19" i="34" l="1"/>
  <c r="S41" i="20"/>
  <c r="F14" i="11" s="1"/>
  <c r="D34" i="33"/>
  <c r="E14" i="11" s="1"/>
  <c r="T41" i="20"/>
  <c r="G14" i="11" s="1"/>
  <c r="T42" i="20" l="1"/>
  <c r="G15" i="11" s="1"/>
  <c r="B20" i="34"/>
  <c r="S42" i="20"/>
  <c r="F15" i="11" s="1"/>
  <c r="D35" i="33"/>
  <c r="E15" i="11" s="1"/>
  <c r="S43" i="20" l="1"/>
  <c r="F16" i="11" s="1"/>
  <c r="D36" i="33"/>
  <c r="E16" i="11" s="1"/>
  <c r="B21" i="34"/>
  <c r="T43" i="20"/>
  <c r="G16" i="11" s="1"/>
  <c r="B22" i="34" l="1"/>
  <c r="S44" i="20"/>
  <c r="F17" i="11" s="1"/>
  <c r="T44" i="20"/>
  <c r="G17" i="11" s="1"/>
  <c r="D37" i="33"/>
  <c r="E17" i="11" s="1"/>
  <c r="D38" i="33" l="1"/>
  <c r="E18" i="11" s="1"/>
  <c r="T45" i="20"/>
  <c r="G18" i="11" s="1"/>
  <c r="B23" i="34"/>
  <c r="S45" i="20"/>
  <c r="F18" i="11" s="1"/>
  <c r="D39" i="33" l="1"/>
  <c r="E19" i="11" s="1"/>
  <c r="B24" i="34"/>
  <c r="S46" i="20"/>
  <c r="F19" i="11" s="1"/>
  <c r="T46" i="20"/>
  <c r="G19" i="11" s="1"/>
  <c r="D40" i="33" l="1"/>
  <c r="E20" i="11" s="1"/>
  <c r="S47" i="20"/>
  <c r="F20" i="11" s="1"/>
  <c r="B25" i="34"/>
  <c r="T47" i="20"/>
  <c r="G20" i="11" s="1"/>
  <c r="D41" i="33" l="1"/>
  <c r="E21" i="11" s="1"/>
  <c r="S48" i="20"/>
  <c r="F21" i="11" s="1"/>
  <c r="T48" i="20"/>
  <c r="G21" i="11" s="1"/>
  <c r="B26" i="34"/>
  <c r="S49" i="20" l="1"/>
  <c r="F22" i="11" s="1"/>
  <c r="B27" i="34"/>
  <c r="T49" i="20"/>
  <c r="G22" i="11" s="1"/>
  <c r="D42" i="33"/>
  <c r="E22" i="11" s="1"/>
  <c r="S50" i="20" l="1"/>
  <c r="F23" i="11" s="1"/>
  <c r="D43" i="33"/>
  <c r="E23" i="11" s="1"/>
  <c r="T50" i="20"/>
  <c r="G23" i="11" s="1"/>
  <c r="B28" i="34"/>
  <c r="B29" i="34" l="1"/>
  <c r="T51" i="20"/>
  <c r="G24" i="11" s="1"/>
  <c r="S51" i="20"/>
  <c r="F24" i="11" s="1"/>
  <c r="D44" i="33"/>
  <c r="E24" i="11" s="1"/>
  <c r="T52" i="20" l="1"/>
  <c r="G25" i="11" s="1"/>
  <c r="D45" i="33"/>
  <c r="E25" i="11" s="1"/>
  <c r="S52" i="20"/>
  <c r="F25" i="11" s="1"/>
  <c r="F36" i="11" l="1"/>
  <c r="F37" i="11"/>
  <c r="E36" i="11"/>
  <c r="D8" i="37" s="1"/>
  <c r="E37" i="11"/>
  <c r="E8" i="37" s="1"/>
  <c r="G36" i="11"/>
  <c r="G37" i="11"/>
  <c r="E9" i="37" l="1"/>
  <c r="D9" i="37"/>
  <c r="M28" i="31" l="1"/>
  <c r="L31" i="31"/>
  <c r="M31" i="31" s="1"/>
  <c r="L29" i="31"/>
  <c r="M29" i="31" s="1"/>
  <c r="M30" i="31"/>
  <c r="L32" i="31"/>
  <c r="M32" i="31" s="1"/>
  <c r="M34" i="31" l="1"/>
  <c r="C22" i="31" s="1"/>
  <c r="C23" i="31" l="1"/>
  <c r="D22" i="31"/>
  <c r="C6" i="11" s="1"/>
  <c r="P6" i="11" l="1"/>
  <c r="C24" i="31"/>
  <c r="D23" i="31"/>
  <c r="C7" i="11" s="1"/>
  <c r="P7" i="11" s="1"/>
  <c r="Q7" i="11" s="1"/>
  <c r="C25" i="31" l="1"/>
  <c r="D24" i="31"/>
  <c r="C8" i="11" s="1"/>
  <c r="P8" i="11" s="1"/>
  <c r="Q8" i="11" s="1"/>
  <c r="Q6" i="11"/>
  <c r="D25" i="31" l="1"/>
  <c r="C9" i="11" s="1"/>
  <c r="P9" i="11" s="1"/>
  <c r="Q9" i="11" s="1"/>
  <c r="C26" i="31"/>
  <c r="C27" i="31" l="1"/>
  <c r="D26" i="31"/>
  <c r="C10" i="11" s="1"/>
  <c r="P10" i="11" s="1"/>
  <c r="Q10" i="11" s="1"/>
  <c r="D27" i="31" l="1"/>
  <c r="C11" i="11" s="1"/>
  <c r="C28" i="31"/>
  <c r="C29" i="31" l="1"/>
  <c r="D28" i="31"/>
  <c r="C12" i="11" s="1"/>
  <c r="P12" i="11" s="1"/>
  <c r="Q12" i="11" s="1"/>
  <c r="P11" i="11"/>
  <c r="Q11" i="11" l="1"/>
  <c r="C30" i="31"/>
  <c r="D29" i="31"/>
  <c r="C13" i="11" s="1"/>
  <c r="P13" i="11" s="1"/>
  <c r="Q13" i="11" s="1"/>
  <c r="D30" i="31" l="1"/>
  <c r="C14" i="11" s="1"/>
  <c r="P14" i="11" s="1"/>
  <c r="Q14" i="11" s="1"/>
  <c r="C31" i="31"/>
  <c r="C32" i="31" l="1"/>
  <c r="D31" i="31"/>
  <c r="C15" i="11" s="1"/>
  <c r="P15" i="11" s="1"/>
  <c r="Q15" i="11" s="1"/>
  <c r="D32" i="31" l="1"/>
  <c r="C16" i="11" s="1"/>
  <c r="P16" i="11" s="1"/>
  <c r="Q16" i="11" s="1"/>
  <c r="C33" i="31"/>
  <c r="C34" i="31" l="1"/>
  <c r="D33" i="31"/>
  <c r="C17" i="11" s="1"/>
  <c r="P17" i="11" s="1"/>
  <c r="Q17" i="11" s="1"/>
  <c r="D34" i="31" l="1"/>
  <c r="C18" i="11" s="1"/>
  <c r="P18" i="11" s="1"/>
  <c r="Q18" i="11" s="1"/>
  <c r="C35" i="31"/>
  <c r="D35" i="31" l="1"/>
  <c r="C19" i="11" s="1"/>
  <c r="P19" i="11" s="1"/>
  <c r="Q19" i="11" s="1"/>
  <c r="C36" i="31"/>
  <c r="C37" i="31" l="1"/>
  <c r="D36" i="31"/>
  <c r="C20" i="11" s="1"/>
  <c r="P20" i="11" s="1"/>
  <c r="Q20" i="11" s="1"/>
  <c r="D37" i="31" l="1"/>
  <c r="C21" i="11" s="1"/>
  <c r="P21" i="11" s="1"/>
  <c r="Q21" i="11" s="1"/>
  <c r="C38" i="31"/>
  <c r="D38" i="31" l="1"/>
  <c r="C22" i="11" s="1"/>
  <c r="P22" i="11" s="1"/>
  <c r="Q22" i="11" s="1"/>
  <c r="C39" i="31"/>
  <c r="D39" i="31" l="1"/>
  <c r="C23" i="11" s="1"/>
  <c r="P23" i="11" s="1"/>
  <c r="Q23" i="11" s="1"/>
  <c r="C40" i="31"/>
  <c r="C41" i="31" l="1"/>
  <c r="D41" i="31" s="1"/>
  <c r="C25" i="11" s="1"/>
  <c r="D40" i="31"/>
  <c r="C24" i="11" s="1"/>
  <c r="P24" i="11" s="1"/>
  <c r="Q24" i="11" s="1"/>
  <c r="P25" i="11" l="1"/>
  <c r="C37" i="11"/>
  <c r="E6" i="37" s="1"/>
  <c r="E12" i="37" s="1"/>
  <c r="C14" i="37" s="1"/>
  <c r="C36" i="11"/>
  <c r="D6" i="37" l="1"/>
  <c r="D12" i="37" s="1"/>
  <c r="Q25" i="11"/>
  <c r="Q37" i="11" s="1"/>
  <c r="B5" i="30" s="1"/>
  <c r="P37" i="11"/>
  <c r="P36" i="11"/>
  <c r="B7" i="30" l="1"/>
  <c r="B8" i="30"/>
  <c r="E38" i="36" l="1"/>
  <c r="C15" i="37"/>
</calcChain>
</file>

<file path=xl/sharedStrings.xml><?xml version="1.0" encoding="utf-8"?>
<sst xmlns="http://schemas.openxmlformats.org/spreadsheetml/2006/main" count="837" uniqueCount="507">
  <si>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</si>
  <si>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</si>
  <si>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</si>
  <si>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</si>
  <si>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</si>
  <si>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</si>
  <si>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</si>
  <si>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</si>
  <si>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</si>
  <si>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</si>
  <si>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</si>
  <si>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Non-CO2 Emission Reduction</t>
  </si>
  <si>
    <t>CO2 Emission Reduction</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</si>
  <si>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</si>
  <si>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</si>
  <si>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</si>
  <si>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</si>
  <si>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</si>
  <si>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</si>
  <si>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</si>
  <si>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</si>
  <si>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</si>
  <si>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</si>
  <si>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</si>
  <si>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</si>
  <si>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</si>
  <si>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</si>
  <si>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</si>
  <si>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</si>
  <si>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</si>
  <si>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</si>
  <si>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</si>
  <si>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</si>
  <si>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</si>
  <si>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</si>
  <si>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</si>
  <si>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</si>
  <si>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</si>
  <si>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</si>
  <si>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</si>
  <si>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</si>
  <si>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</si>
  <si>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</si>
  <si>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</si>
  <si>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</si>
  <si>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</si>
  <si>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</si>
  <si>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</si>
  <si>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</si>
  <si>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</si>
  <si>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</si>
  <si>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</si>
  <si>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</si>
  <si>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</si>
  <si>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</si>
  <si>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</si>
  <si>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</si>
  <si>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</si>
  <si>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</si>
  <si>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</si>
  <si>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</si>
  <si>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</si>
  <si>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</si>
  <si>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</si>
  <si>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</si>
  <si>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</si>
  <si>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</si>
  <si>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</si>
  <si>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</si>
  <si>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</si>
  <si>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</si>
  <si>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</si>
  <si>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</si>
  <si>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</si>
  <si>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</si>
  <si>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</si>
  <si>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</si>
  <si>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</si>
  <si>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</si>
  <si>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</si>
  <si>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</si>
  <si>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</si>
  <si>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</si>
  <si>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</si>
  <si>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</si>
  <si>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</si>
  <si>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</si>
  <si>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</si>
  <si>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</si>
  <si>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</si>
  <si>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</si>
  <si>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</si>
  <si>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</si>
  <si>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</si>
  <si>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</si>
  <si>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</si>
  <si>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</si>
  <si>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</si>
  <si>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</si>
  <si>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</si>
  <si>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</si>
  <si>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</si>
  <si>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</si>
  <si>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</si>
  <si>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</si>
  <si>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</si>
  <si>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</si>
  <si>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</si>
  <si>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</si>
  <si>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</si>
  <si>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</si>
  <si>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</si>
  <si>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</si>
  <si>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</si>
  <si>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</si>
  <si>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</si>
  <si>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</si>
  <si>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</si>
  <si>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</si>
  <si>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</si>
  <si>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</si>
  <si>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</si>
  <si>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</si>
  <si>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</si>
  <si>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</si>
  <si>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</si>
  <si>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</si>
  <si>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</si>
  <si>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</si>
  <si>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</si>
  <si>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</si>
  <si>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</si>
  <si>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</si>
  <si>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</si>
  <si>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</si>
  <si>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</si>
  <si>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</si>
  <si>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</si>
  <si>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</si>
  <si>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</si>
  <si>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</si>
  <si>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</si>
  <si>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</si>
  <si>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</si>
  <si>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</si>
  <si>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</si>
  <si>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</si>
  <si>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</si>
  <si>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</si>
  <si>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</si>
  <si>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</si>
  <si>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</si>
  <si>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</si>
  <si>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</si>
  <si>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</si>
  <si>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</si>
  <si>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</si>
  <si>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</si>
  <si>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</si>
  <si>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</si>
  <si>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</si>
  <si>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</si>
  <si>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</si>
  <si>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</si>
  <si>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</si>
  <si>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</si>
  <si>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</si>
  <si>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</si>
  <si>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</si>
  <si>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</si>
  <si>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</si>
  <si>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</si>
  <si>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</si>
  <si>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</si>
  <si>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</si>
  <si>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</si>
  <si>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</si>
  <si>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</si>
  <si>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</si>
  <si>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</si>
  <si>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</si>
  <si>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</si>
  <si>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</si>
  <si>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</si>
  <si>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</si>
  <si>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</si>
  <si>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</si>
  <si>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</si>
  <si>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</si>
  <si>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</si>
  <si>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</si>
  <si>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</si>
  <si>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</si>
  <si>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</si>
  <si>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</si>
  <si>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</si>
  <si>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</si>
  <si>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</si>
  <si>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</si>
  <si>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</si>
  <si>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</si>
  <si>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</si>
  <si>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</si>
  <si>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</si>
  <si>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</si>
  <si>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</si>
  <si>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</si>
  <si>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</si>
  <si>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</si>
  <si>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r>
      <t>CO</t>
    </r>
    <r>
      <rPr>
        <vertAlign val="subscript"/>
        <sz val="11"/>
        <color theme="0"/>
        <rFont val="Times New Roman"/>
        <family val="1"/>
      </rPr>
      <t>2</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</si>
  <si>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</si>
  <si>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</si>
  <si>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</si>
  <si>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</si>
  <si>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</si>
  <si>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</si>
  <si>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</si>
  <si>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</si>
  <si>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</si>
  <si>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</si>
  <si>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</si>
  <si>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</si>
  <si>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</si>
  <si>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</si>
  <si>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</si>
  <si>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</si>
  <si>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</si>
  <si>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</si>
  <si>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</si>
  <si>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</si>
  <si>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 Build CO</t>
    </r>
    <r>
      <rPr>
        <vertAlign val="subscript"/>
        <sz val="11"/>
        <color theme="0"/>
        <rFont val="Calibri"/>
        <family val="2"/>
        <scheme val="minor"/>
      </rPr>
      <t>2</t>
    </r>
    <r>
      <rPr>
        <sz val="11"/>
        <color theme="0"/>
        <rFont val="Calibri"/>
        <family val="2"/>
        <scheme val="minor"/>
      </rPr>
      <t xml:space="preserve"> (mt)</t>
    </r>
  </si>
  <si>
    <r>
      <t>Build CO</t>
    </r>
    <r>
      <rPr>
        <vertAlign val="subscript"/>
        <sz val="11"/>
        <color theme="0"/>
        <rFont val="Calibri"/>
        <family val="2"/>
        <scheme val="minor"/>
      </rPr>
      <t>2</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</si>
  <si>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</si>
  <si>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</si>
  <si>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</si>
  <si>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r>
      <t>CO</t>
    </r>
    <r>
      <rPr>
        <vertAlign val="subscript"/>
        <sz val="11"/>
        <color theme="0"/>
        <rFont val="Calibri"/>
        <family val="2"/>
        <scheme val="minor"/>
      </rPr>
      <t>2</t>
    </r>
  </si>
  <si>
    <r>
      <t>Non-CO</t>
    </r>
    <r>
      <rPr>
        <vertAlign val="subscript"/>
        <sz val="11"/>
        <color theme="0"/>
        <rFont val="Calibri"/>
        <family val="2"/>
        <scheme val="minor"/>
      </rPr>
      <t>2</t>
    </r>
    <r>
      <rPr>
        <sz val="11"/>
        <color theme="0"/>
        <rFont val="Calibri"/>
        <family val="2"/>
        <scheme val="minor"/>
      </rPr>
      <t xml:space="preserve"> Emission Reduction</t>
    </r>
  </si>
  <si>
    <r>
      <t>CO</t>
    </r>
    <r>
      <rPr>
        <vertAlign val="subscript"/>
        <sz val="11"/>
        <color theme="0"/>
        <rFont val="Calibri"/>
        <family val="2"/>
        <scheme val="minor"/>
      </rPr>
      <t>2</t>
    </r>
    <r>
      <rPr>
        <sz val="11"/>
        <color theme="0"/>
        <rFont val="Calibri"/>
        <family val="2"/>
        <scheme val="minor"/>
      </rPr>
      <t xml:space="preserve"> Emission Reduction</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</si>
  <si>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</si>
  <si>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</si>
  <si>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</si>
  <si>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</si>
  <si>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</si>
  <si>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</si>
  <si>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</si>
  <si>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</si>
  <si>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</si>
  <si>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</si>
  <si>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</si>
  <si>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</si>
  <si>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</si>
  <si>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</si>
  <si>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</si>
  <si>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</si>
  <si>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</si>
  <si>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</si>
  <si>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</si>
  <si>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</si>
  <si>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</si>
  <si>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</si>
  <si>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</si>
  <si>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</si>
  <si>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</si>
  <si>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</si>
  <si>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&lt;-The BCR will be estimated once capital costs are entered in the 'Capital Cost' sheet</t>
  </si>
  <si>
    <t>Table A-1a: Value of Reduced Fatalities, Injuries, and Crashes</t>
  </si>
  <si>
    <t>PDO Crash</t>
  </si>
  <si>
    <t>Table A-2: Value of Travel Time Savings</t>
  </si>
  <si>
    <t>Table A-3: Average Vehicle Occupancy Rates for Highway Passenger Vehicles</t>
  </si>
  <si>
    <t>Table A-4: Vehicle Operating Costs</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</si>
  <si>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</si>
  <si>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</si>
  <si>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</si>
  <si>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</si>
  <si>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</si>
  <si>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</si>
  <si>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</si>
  <si>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</si>
  <si>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</si>
  <si>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</si>
  <si>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</si>
  <si>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</si>
  <si>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t>1)  Includes fuel cost, depreciation, and labor cost which should be discounted at 3.1 percent.</t>
  </si>
  <si>
    <r>
      <t>Operating Costs</t>
    </r>
    <r>
      <rPr>
        <vertAlign val="superscript"/>
        <sz val="11"/>
        <color theme="0"/>
        <rFont val="Times New Roman"/>
        <family val="1"/>
      </rPr>
      <t>1</t>
    </r>
  </si>
  <si>
    <r>
      <t>Non-CO</t>
    </r>
    <r>
      <rPr>
        <vertAlign val="subscript"/>
        <sz val="11"/>
        <color theme="0"/>
        <rFont val="Times New Roman"/>
        <family val="1"/>
      </rPr>
      <t>2</t>
    </r>
    <r>
      <rPr>
        <sz val="11"/>
        <color theme="0"/>
        <rFont val="Times New Roman"/>
        <family val="1"/>
      </rPr>
      <t xml:space="preserve"> Emission Costs</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</si>
  <si>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</si>
  <si>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 Non-CO2 emission costs should be discounted at 3.1 percent and CO2 emission costs should be discounted at 2.0 percent.</t>
  </si>
  <si>
    <r>
      <t>Non-CO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</si>
  <si>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r>
      <t>CO</t>
    </r>
    <r>
      <rPr>
        <vertAlign val="subscript"/>
        <sz val="11"/>
        <color theme="0"/>
        <rFont val="Times New Roman"/>
        <family val="1"/>
      </rPr>
      <t>2</t>
    </r>
    <r>
      <rPr>
        <sz val="11"/>
        <color theme="0"/>
        <rFont val="Times New Roman"/>
        <family val="1"/>
      </rPr>
      <t xml:space="preserve"> Emission Cost</t>
    </r>
    <r>
      <rPr>
        <vertAlign val="superscript"/>
        <sz val="11"/>
        <color theme="0"/>
        <rFont val="Times New Roman"/>
        <family val="1"/>
      </rPr>
      <t>2</t>
    </r>
  </si>
  <si>
    <t>2)   Emission rates are based on estimates from EPA’s MOVES Model. The monetization applies the 2035-year emission value to approximate increasing emission damage costs over time. Non-CO2 emission damages should be discounted at 3.1 percent, while CO2 emission damages should be discounted at 2.0 percent.</t>
  </si>
  <si>
    <r>
      <t>No Build Non-CO</t>
    </r>
    <r>
      <rPr>
        <vertAlign val="subscript"/>
        <sz val="11"/>
        <color theme="0"/>
        <rFont val="Calibri"/>
        <family val="2"/>
        <scheme val="minor"/>
      </rPr>
      <t>2</t>
    </r>
    <r>
      <rPr>
        <sz val="11"/>
        <color theme="0"/>
        <rFont val="Calibri"/>
        <family val="2"/>
        <scheme val="minor"/>
      </rPr>
      <t xml:space="preserve"> Emission Costs ($)</t>
    </r>
  </si>
  <si>
    <r>
      <t>Build Non-CO</t>
    </r>
    <r>
      <rPr>
        <vertAlign val="subscript"/>
        <sz val="11"/>
        <color theme="0"/>
        <rFont val="Calibri"/>
        <family val="2"/>
        <scheme val="minor"/>
      </rPr>
      <t>2</t>
    </r>
    <r>
      <rPr>
        <sz val="11"/>
        <color theme="0"/>
        <rFont val="Calibri"/>
        <family val="2"/>
        <scheme val="minor"/>
      </rPr>
      <t xml:space="preserve"> Emission Costs ($)</t>
    </r>
  </si>
  <si>
    <r>
      <t>No Build CO</t>
    </r>
    <r>
      <rPr>
        <vertAlign val="subscript"/>
        <sz val="11"/>
        <color theme="0"/>
        <rFont val="Calibri"/>
        <family val="2"/>
        <scheme val="minor"/>
      </rPr>
      <t>2</t>
    </r>
    <r>
      <rPr>
        <sz val="11"/>
        <color theme="0"/>
        <rFont val="Calibri"/>
        <family val="2"/>
        <scheme val="minor"/>
      </rPr>
      <t xml:space="preserve"> Emission Costs ($)</t>
    </r>
  </si>
  <si>
    <r>
      <t>Build CO</t>
    </r>
    <r>
      <rPr>
        <vertAlign val="subscript"/>
        <sz val="11"/>
        <color theme="0"/>
        <rFont val="Calibri"/>
        <family val="2"/>
        <scheme val="minor"/>
      </rPr>
      <t>2</t>
    </r>
    <r>
      <rPr>
        <sz val="11"/>
        <color theme="0"/>
        <rFont val="Calibri"/>
        <family val="2"/>
        <scheme val="minor"/>
      </rPr>
      <t xml:space="preserve"> Emission Costs ($)</t>
    </r>
  </si>
  <si>
    <t>Table 2. Emissions</t>
  </si>
  <si>
    <r>
      <t>Non-CO</t>
    </r>
    <r>
      <rPr>
        <vertAlign val="subscript"/>
        <sz val="11"/>
        <color theme="1"/>
        <rFont val="Calibri"/>
        <family val="2"/>
        <scheme val="minor"/>
      </rPr>
      <t>2</t>
    </r>
    <r>
      <rPr>
        <sz val="11"/>
        <color theme="1"/>
        <rFont val="Calibri"/>
        <family val="2"/>
        <scheme val="minor"/>
      </rPr>
      <t xml:space="preserve"> Emissions</t>
    </r>
  </si>
  <si>
    <r>
      <t>CO</t>
    </r>
    <r>
      <rPr>
        <vertAlign val="subscript"/>
        <sz val="11"/>
        <color theme="1"/>
        <rFont val="Calibri"/>
        <family val="2"/>
        <scheme val="minor"/>
      </rPr>
      <t>2</t>
    </r>
    <r>
      <rPr>
        <sz val="11"/>
        <color theme="1"/>
        <rFont val="Calibri"/>
        <family val="2"/>
        <scheme val="minor"/>
      </rPr>
      <t xml:space="preserve"> Emissions</t>
    </r>
  </si>
  <si>
    <t>Table 1. Emission Costs per VMT and Train-Hour</t>
  </si>
  <si>
    <t>First Year of Project Development/Construction</t>
  </si>
  <si>
    <t>Table 2. Residual Value</t>
  </si>
  <si>
    <t>Table 1. Useful Life</t>
  </si>
  <si>
    <t>Project Component</t>
  </si>
  <si>
    <t>[Text Describing Project Component]</t>
  </si>
  <si>
    <t>Useful Life (Years)</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</si>
  <si>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</si>
  <si>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</si>
  <si>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</si>
  <si>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</si>
  <si>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</si>
  <si>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</si>
  <si>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</si>
  <si>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</si>
  <si>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</si>
  <si>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</si>
  <si>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</si>
  <si>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</si>
  <si>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</si>
  <si>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</si>
  <si>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</si>
  <si>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</si>
  <si>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</si>
  <si>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</si>
  <si>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</si>
  <si>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</si>
  <si>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</si>
  <si>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</si>
  <si>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</si>
  <si>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</si>
  <si>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</si>
  <si>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</si>
  <si>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</si>
  <si>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</si>
  <si>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</si>
  <si>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Annual Inflation Rate Used to Convert Constant Dollars to Year-of-Expenditure Dollars</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</si>
  <si>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</si>
  <si>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</si>
  <si>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</si>
  <si>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</si>
  <si>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</si>
  <si>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</si>
  <si>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Monetized Value (2023 $)</t>
  </si>
  <si>
    <t>(2023 $ per person-hour)</t>
  </si>
  <si>
    <t>Recommended Value per Mile (2023 $)</t>
  </si>
  <si>
    <t>Recommended Value per Hour (2023 $)</t>
  </si>
  <si>
    <t>Multiplier to Adjust to Real 2023 $</t>
  </si>
  <si>
    <r>
      <t>Recommended Value per Person-Mile Walked (2023 $)</t>
    </r>
    <r>
      <rPr>
        <vertAlign val="superscript"/>
        <sz val="11"/>
        <color theme="0"/>
        <rFont val="Times New Roman"/>
        <family val="1"/>
      </rPr>
      <t>1</t>
    </r>
  </si>
  <si>
    <r>
      <t>Recommended Value per Use (2023 $)</t>
    </r>
    <r>
      <rPr>
        <vertAlign val="superscript"/>
        <sz val="11"/>
        <color theme="0"/>
        <rFont val="Times New Roman"/>
        <family val="1"/>
      </rPr>
      <t>1</t>
    </r>
  </si>
  <si>
    <r>
      <t>Recommended Value per Cycling Mile (2023 $)</t>
    </r>
    <r>
      <rPr>
        <vertAlign val="superscript"/>
        <sz val="11"/>
        <color theme="0"/>
        <rFont val="Times New Roman"/>
        <family val="1"/>
      </rPr>
      <t>1</t>
    </r>
  </si>
  <si>
    <t>Recommended Value per User Trip (2023 $)</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</si>
  <si>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</si>
  <si>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</si>
  <si>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Recommended Value per Induced Trip (2023 $)</t>
    </r>
    <r>
      <rPr>
        <vertAlign val="superscript"/>
        <sz val="11"/>
        <color theme="0"/>
        <rFont val="Calibri"/>
        <family val="2"/>
        <scheme val="minor"/>
      </rPr>
      <t>4</t>
    </r>
  </si>
  <si>
    <r>
      <t>Recommended Value of Cost per Vehicle Mile Traveled (2023 $)</t>
    </r>
    <r>
      <rPr>
        <vertAlign val="superscript"/>
        <sz val="11"/>
        <color theme="0"/>
        <rFont val="Times New Roman"/>
        <family val="1"/>
      </rPr>
      <t>1</t>
    </r>
  </si>
  <si>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</si>
  <si>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Previously Incurred Costs (in 2023$)</t>
  </si>
  <si>
    <t>Cost in Constant Dollars (2023 $)</t>
  </si>
  <si>
    <t xml:space="preserve">All values entered into input cells in this sheet should be entered as undiscounted 2023 dollar values. The template will automatically apply discounting to all costs and benefits for you. </t>
  </si>
  <si>
    <t>Hourly Value (2023 $)</t>
  </si>
  <si>
    <t xml:space="preserve">Unique to this sheet, applicants may either input monetized emissions in 2023 dollars OR enter the direct emission amounts in the table below, in which case they must be entered in the form of METRIC TONS. A metric ton is equal to 1.1023 short tons. </t>
  </si>
  <si>
    <t>Recommended Value per Induced Trip (2023 $)</t>
  </si>
  <si>
    <t>Capital Cost (2023 $)</t>
  </si>
  <si>
    <t>Physical Details</t>
  </si>
  <si>
    <t>Construction to begin (year)</t>
  </si>
  <si>
    <t>Construction to be completed (year)</t>
  </si>
  <si>
    <t>N/A</t>
  </si>
  <si>
    <t>Number of crosswalks (count)</t>
  </si>
  <si>
    <t>Daily pedestrian volume - warm day (trip count)</t>
  </si>
  <si>
    <t>Daily cyclist volume - warm day (trip count)</t>
  </si>
  <si>
    <t>Growth Rates</t>
  </si>
  <si>
    <t>Base Data</t>
  </si>
  <si>
    <t>Total expenditure ($USD)</t>
  </si>
  <si>
    <t>Used</t>
  </si>
  <si>
    <t>Daily vehicle volume - all days (trip count)</t>
  </si>
  <si>
    <t>Trip count</t>
  </si>
  <si>
    <t>Value Per Mile: Cycling Path with At-Grade Crossings</t>
  </si>
  <si>
    <t>Value Per Mile: Expand Sidewalk (per foot of added width):</t>
  </si>
  <si>
    <t>Sidewalk Gain Benefit:</t>
  </si>
  <si>
    <t>Cycling Facility Improvement Benefit:</t>
  </si>
  <si>
    <t>Maximum pedestrian trip length per BCA Guidance (mi):</t>
  </si>
  <si>
    <t>New Crosswalks Gained:</t>
  </si>
  <si>
    <t>Pedestrian Signals Gained:</t>
  </si>
  <si>
    <t>Crosswalk Gain Benefit:</t>
  </si>
  <si>
    <t>Signal Gain Benefit:</t>
  </si>
  <si>
    <t>Pedestrian Enhancements:</t>
  </si>
  <si>
    <t>Cyclist Enhancements:</t>
  </si>
  <si>
    <t>Total Pedestrian Improvement Per Trip:</t>
  </si>
  <si>
    <t>Total Cyclist Improvement Per Trip:</t>
  </si>
  <si>
    <t>Maximum cyclist trip length per BCA Guidance (mi):</t>
  </si>
  <si>
    <t>O</t>
  </si>
  <si>
    <t>C</t>
  </si>
  <si>
    <t>B</t>
  </si>
  <si>
    <t>A</t>
  </si>
  <si>
    <t>K</t>
  </si>
  <si>
    <t>U</t>
  </si>
  <si>
    <t>PDO</t>
  </si>
  <si>
    <t>Annual Occurrences</t>
  </si>
  <si>
    <t>x CMF</t>
  </si>
  <si>
    <t>No Build (Base)</t>
  </si>
  <si>
    <t>Build (Base)</t>
  </si>
  <si>
    <t>&lt;--Total actual and planned number of crosswalks within project</t>
  </si>
  <si>
    <t>&lt;--Total road length within project area</t>
  </si>
  <si>
    <t>&lt;--Maximum walking trip distance per BCA guidance (average walking trip within project area assumed to meet or exceed maximum value of 0.86)</t>
  </si>
  <si>
    <t>&lt;--Maximum cycling trip distance per BCA guidance (average cycling trip within project area assumed to meet or exceed maximum value of 2.38)</t>
  </si>
  <si>
    <t>&lt;--Proposed project budget</t>
  </si>
  <si>
    <t>&lt;--Project to be completed 3 years post-construction start</t>
  </si>
  <si>
    <t>&lt;--Vehicle volume unaffected by project</t>
  </si>
  <si>
    <t>&lt;--Assumes one time growth in pedestrian foot traffic due to project opening</t>
  </si>
  <si>
    <t>&lt;--Assumes one time growth in cyclist traffic due to project opening</t>
  </si>
  <si>
    <t>&lt;--Estimated total 20-year population growth based on consensus U.S. average predictions</t>
  </si>
  <si>
    <t>2029 expenditure ($USD)</t>
  </si>
  <si>
    <t>2030 expenditure ($USD)</t>
  </si>
  <si>
    <t>2031 expenditure ($USD)</t>
  </si>
  <si>
    <t>20 year growth rate: vehicle volume (%)</t>
  </si>
  <si>
    <t>20 year growth rate: pedestrian volume (%)</t>
  </si>
  <si>
    <t>20 year growth rate: cyclist volume (%)</t>
  </si>
  <si>
    <t>Average Trip Length by Traffic Type</t>
  </si>
  <si>
    <t>Average trip length: vehicle (mi)</t>
  </si>
  <si>
    <t>Average trip length: pedestrian (mi)</t>
  </si>
  <si>
    <t>Average trip length: cyclist (mi)</t>
  </si>
  <si>
    <t>&lt;--Per BCA guidance</t>
  </si>
  <si>
    <t>&lt;--Actual</t>
  </si>
  <si>
    <t>&lt;--Per BCA Guidance</t>
  </si>
  <si>
    <t>BCR:</t>
  </si>
  <si>
    <t>See Inputs tab for User Volume detail</t>
  </si>
  <si>
    <t>See Inputs tab for Budget detail</t>
  </si>
  <si>
    <t>% of Pedestrian traffic impacted:</t>
  </si>
  <si>
    <t>&lt;--Conservative estimate</t>
  </si>
  <si>
    <t>% of Cyclist traffic impacted:</t>
  </si>
  <si>
    <t>Distance shortened (mi):</t>
  </si>
  <si>
    <t>Pedestrian walking speed (mph):</t>
  </si>
  <si>
    <t>Cyclist speed (mph):</t>
  </si>
  <si>
    <t>No build travel time (hours) - impacted pedestrians:</t>
  </si>
  <si>
    <t>No build travel time (hours) - impacted cyclists:</t>
  </si>
  <si>
    <t>Build travel time (hours) - impacted pedestrians:</t>
  </si>
  <si>
    <t>Build travel time (hours) - impacted cyclists:</t>
  </si>
  <si>
    <t>No build trip value (2023 $) - impacted pedestrians:</t>
  </si>
  <si>
    <t>No build trip value (2023 $) - impacted cyclists:</t>
  </si>
  <si>
    <t>Build trip value (2023 $) - impacted pedestrians:</t>
  </si>
  <si>
    <t>Build trip value (2023 $) - impacted cyclists:</t>
  </si>
  <si>
    <t>Maintenance cost breakout available via separate file</t>
  </si>
  <si>
    <t>Sidewalk/multi-use path width gained (ft):</t>
  </si>
  <si>
    <t>Value per trip:</t>
  </si>
  <si>
    <t>Incremental pedestrian and cyclist trips (Build - No Build) * BCA Recommended Values above</t>
  </si>
  <si>
    <t>Commentary:</t>
  </si>
  <si>
    <t>One-time change at project completion: vehicle volume (%)</t>
  </si>
  <si>
    <t>One-time change at project completion: pedestrian volume (%)</t>
  </si>
  <si>
    <t>One-time change at project completion: cyclist volume (%)</t>
  </si>
  <si>
    <t>Additional sidewalk &amp; multi-use path, crosswalks, and signals to enhance pedestrian and cyclist travel experience and drive increase in traffic volumes</t>
  </si>
  <si>
    <t>3.1% NPV Summary</t>
  </si>
  <si>
    <t>Costs</t>
  </si>
  <si>
    <t>Benefits</t>
  </si>
  <si>
    <t>Benefit-Cost Ratio</t>
  </si>
  <si>
    <t>Discounted</t>
  </si>
  <si>
    <t>Emission Reductions</t>
  </si>
  <si>
    <t>CMF</t>
  </si>
  <si>
    <t>CRF min (%)</t>
  </si>
  <si>
    <t>CRF max (%)</t>
  </si>
  <si>
    <t>CRF avg. (%)</t>
  </si>
  <si>
    <t>CRF Detail</t>
  </si>
  <si>
    <t>CRF ID #</t>
  </si>
  <si>
    <t>Map Location</t>
  </si>
  <si>
    <t>PD</t>
  </si>
  <si>
    <t>Total by Category</t>
  </si>
  <si>
    <t>Total by Project Area</t>
  </si>
  <si>
    <t>3-year avg. by Category</t>
  </si>
  <si>
    <t>3-year avg. by Project Area</t>
  </si>
  <si>
    <t>4123</t>
  </si>
  <si>
    <t>0.60</t>
  </si>
  <si>
    <t>9302</t>
  </si>
  <si>
    <t>0.86</t>
  </si>
  <si>
    <t>Improved crossing visibility and signaling due to 9 new crosswalks and 17 upgraded crosswalks</t>
  </si>
  <si>
    <t>Separation between vehicles and pedestrians/bicycles given the installation of a multi-use pathway</t>
  </si>
  <si>
    <t>Enhanced crosswalks installation of new RRFBs for pedestrians</t>
  </si>
  <si>
    <t>New pavement will replace old and worn-out pavement throughout the Project area using the mill and fill process</t>
  </si>
  <si>
    <t>x</t>
  </si>
  <si>
    <t>&lt;--Average increase of width with new sidewalks</t>
  </si>
  <si>
    <t>Congestion &amp; Travel Time Savings</t>
  </si>
  <si>
    <t>Total Vehicle Traffic that will avoid congestion</t>
  </si>
  <si>
    <t>&lt;- Est. vehicle traffic that will use the new two-way conversion and will avoid congestion at the Maine St &amp; Cabot St. intersection</t>
  </si>
  <si>
    <t># of Vehicles impacted (AADT)</t>
  </si>
  <si>
    <t>Average speed (mph)</t>
  </si>
  <si>
    <t>Vehicles using the new two-way conversion will avoid congestion at the Maine St &amp; Cabot St. intersection</t>
  </si>
  <si>
    <t>All Purpose - Hourly Value of Time (per BCA)</t>
  </si>
  <si>
    <t># of Vehicles impacted (Annual)</t>
  </si>
  <si>
    <t>Avg. Time Lost Due to Congestion (hours)</t>
  </si>
  <si>
    <t>No-build Distance</t>
  </si>
  <si>
    <t>Build Distance</t>
  </si>
  <si>
    <t>No build travel time (hours)</t>
  </si>
  <si>
    <t>Build travel time (hours)</t>
  </si>
  <si>
    <t>Traffic Affected by the Two Way Conversion</t>
  </si>
  <si>
    <t>No-build Trip Value (2023 $)</t>
  </si>
  <si>
    <t>Build Trip Value (2023 $)</t>
  </si>
  <si>
    <t>Average delay at the intersection of Maine St. &amp; Cabot St. (minutes, Only for No-Build Scenario)</t>
  </si>
  <si>
    <t>&lt;--Project construction start date</t>
  </si>
  <si>
    <t>&lt;--Traffic of the most traffiqued project areas. Excluded other areas to avoid double counting</t>
  </si>
  <si>
    <t>&lt;--1/3 of Proposed project budget, assumes equal spread across 3 year construction period</t>
  </si>
  <si>
    <t>&lt;--Conversion of Pleasant Street into a two-way street will reduce the traffic visiting a congested intersection</t>
  </si>
  <si>
    <t>&lt;--Per Two-Way Conversion Study Technical Memorandum)</t>
  </si>
  <si>
    <r>
      <t>Average trip length (</t>
    </r>
    <r>
      <rPr>
        <u/>
        <sz val="11"/>
        <color theme="1"/>
        <rFont val="Calibri"/>
        <family val="2"/>
        <scheme val="minor"/>
      </rPr>
      <t>Vehicles affected by the two way conversion only</t>
    </r>
    <r>
      <rPr>
        <sz val="11"/>
        <color theme="1"/>
        <rFont val="Calibri"/>
        <family val="2"/>
        <scheme val="minor"/>
      </rPr>
      <t>)</t>
    </r>
  </si>
  <si>
    <t>&lt;--Only for the traffic that will experiene travel time savings due to the new two-way conversion</t>
  </si>
  <si>
    <t>&lt;--Estimated average daily pedestrian volume (accounts for both warm and cold months)</t>
  </si>
  <si>
    <t>&lt;--Estimated average daily cyclist volume (accounts for both warm and cold months)</t>
  </si>
  <si>
    <t>&lt; - No-build scenario accounts for large mill fills and crossing repairs, due every 15 years</t>
  </si>
  <si>
    <t>&lt; - Build scenario accounts for large mill fills and crossing repairs, due every 15 years</t>
  </si>
  <si>
    <t>Weighted Avg, -&gt;</t>
  </si>
  <si>
    <t>11158</t>
  </si>
  <si>
    <t>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</si>
</sst>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 numFmtId="171" formatCode="0.0%"/>
    <numFmt numFmtId="172" formatCode="0.0"/>
    <numFmt numFmtId="173" formatCode="_(* #,##0_);_(* \(#,##0\);_(* &quot;-&quot;??_);_(@_)"/>
  </numFmts>
  <fonts count="40"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vertAlign val="subscript"/>
      <sz val="11"/>
      <color theme="1"/>
      <name val="Calibri"/>
      <family val="2"/>
      <scheme val="minor"/>
    </font>
    <font>
      <u/>
      <sz val="11"/>
      <name val="Calibri"/>
      <family val="2"/>
      <scheme val="minor"/>
    </font>
    <font>
      <i/>
      <sz val="11"/>
      <name val="Calibri"/>
      <family val="2"/>
      <scheme val="minor"/>
    </font>
    <font>
      <b/>
      <sz val="11"/>
      <color theme="1"/>
      <name val="Calibri"/>
      <family val="2"/>
      <scheme val="minor"/>
    </font>
    <font>
      <sz val="11"/>
      <color rgb="FF0000FF"/>
      <name val="Calibri"/>
      <family val="2"/>
      <scheme val="minor"/>
    </font>
    <font>
      <b/>
      <sz val="20"/>
      <color theme="1"/>
      <name val="Calibri"/>
      <family val="2"/>
      <scheme val="minor"/>
    </font>
    <font>
      <sz val="11"/>
      <color rgb="FF00B050"/>
      <name val="Calibri"/>
      <family val="2"/>
      <scheme val="minor"/>
    </font>
    <font>
      <sz val="11"/>
      <color rgb="FF000000"/>
      <name val="Aptos"/>
      <family val="2"/>
    </font>
    <font>
      <u/>
      <sz val="11"/>
      <color theme="1"/>
      <name val="Calibri"/>
      <family val="2"/>
      <scheme val="minor"/>
    </font>
    <font>
      <sz val="11"/>
      <color theme="4"/>
      <name val="Calibri"/>
      <family val="2"/>
      <scheme val="minor"/>
    </font>
    <font>
      <b/>
      <sz val="11"/>
      <color theme="4"/>
      <name val="Calibri"/>
      <family val="2"/>
      <scheme val="minor"/>
    </font>
  </fonts>
  <fills count="22">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rgb="FF002060"/>
        <bgColor indexed="64"/>
      </patternFill>
    </fill>
    <fill>
      <patternFill patternType="solid">
        <fgColor rgb="FF548235"/>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rgb="FFFF0000"/>
        <bgColor indexed="64"/>
      </patternFill>
    </fill>
    <fill>
      <patternFill patternType="solid">
        <fgColor rgb="FFC00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thin">
        <color indexed="64"/>
      </left>
      <right/>
      <top/>
      <bottom style="medium">
        <color indexed="64"/>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top/>
      <bottom style="thin">
        <color theme="0" tint="-0.249977111117893"/>
      </bottom>
      <diagonal/>
    </border>
    <border>
      <left style="dashDotDot">
        <color theme="0" tint="-0.249977111117893"/>
      </left>
      <right/>
      <top/>
      <bottom/>
      <diagonal/>
    </border>
    <border>
      <left/>
      <right style="dashDotDot">
        <color theme="0" tint="-0.249977111117893"/>
      </right>
      <top/>
      <bottom/>
      <diagonal/>
    </border>
    <border>
      <left style="dashDotDot">
        <color theme="0" tint="-0.249977111117893"/>
      </left>
      <right/>
      <top style="thin">
        <color indexed="64"/>
      </top>
      <bottom/>
      <diagonal/>
    </border>
    <border>
      <left/>
      <right style="dashDotDot">
        <color theme="0" tint="-0.249977111117893"/>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2" applyNumberFormat="0" applyFont="0" applyAlignment="0" applyProtection="0"/>
    <xf numFmtId="43" fontId="11" fillId="0" borderId="0" applyFont="0" applyFill="0" applyBorder="0" applyAlignment="0" applyProtection="0"/>
  </cellStyleXfs>
  <cellXfs count="333">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3" xfId="0" applyFont="1" applyBorder="1"/>
    <xf numFmtId="0" fontId="2" fillId="0" borderId="10" xfId="0"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9"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30" xfId="0" applyFont="1" applyFill="1" applyBorder="1"/>
    <xf numFmtId="0" fontId="15" fillId="10" borderId="31"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6" fillId="12" borderId="23" xfId="0" applyFont="1" applyFill="1" applyBorder="1"/>
    <xf numFmtId="0" fontId="6" fillId="12" borderId="4" xfId="0" applyFont="1" applyFill="1" applyBorder="1"/>
    <xf numFmtId="0" fontId="6" fillId="12" borderId="6" xfId="0" applyFont="1" applyFill="1" applyBorder="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20" xfId="0" applyNumberFormat="1" applyFont="1" applyFill="1" applyBorder="1"/>
    <xf numFmtId="165" fontId="9" fillId="2" borderId="15" xfId="0" applyNumberFormat="1" applyFont="1" applyFill="1" applyBorder="1"/>
    <xf numFmtId="165" fontId="9" fillId="2" borderId="1"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2" xfId="8" applyFont="1"/>
    <xf numFmtId="0" fontId="0" fillId="13" borderId="32" xfId="8" applyFont="1" applyAlignment="1">
      <alignment vertical="top"/>
    </xf>
    <xf numFmtId="0" fontId="0" fillId="13" borderId="32" xfId="8" applyFont="1" applyAlignment="1"/>
    <xf numFmtId="0" fontId="0" fillId="13" borderId="32" xfId="8" applyFont="1" applyAlignment="1">
      <alignment wrapText="1"/>
    </xf>
    <xf numFmtId="0" fontId="9" fillId="2" borderId="1" xfId="0" applyFont="1" applyFill="1" applyBorder="1"/>
    <xf numFmtId="6" fontId="10" fillId="14" borderId="0" xfId="0" applyNumberFormat="1" applyFont="1" applyFill="1"/>
    <xf numFmtId="170" fontId="9" fillId="3" borderId="16" xfId="2" applyNumberFormat="1" applyFont="1" applyFill="1" applyBorder="1"/>
    <xf numFmtId="43" fontId="9" fillId="3" borderId="17" xfId="9"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6" fontId="9" fillId="2" borderId="20" xfId="0" applyNumberFormat="1" applyFont="1"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16" fillId="15" borderId="0" xfId="0" applyFont="1" applyFill="1" applyAlignment="1">
      <alignment horizontal="center"/>
    </xf>
    <xf numFmtId="0" fontId="32" fillId="0" borderId="0" xfId="0" applyFont="1"/>
    <xf numFmtId="0" fontId="0" fillId="0" borderId="35" xfId="0" applyBorder="1"/>
    <xf numFmtId="0" fontId="0" fillId="0" borderId="0" xfId="0" applyAlignment="1">
      <alignment horizontal="left" indent="2"/>
    </xf>
    <xf numFmtId="0" fontId="0" fillId="0" borderId="35" xfId="0" applyBorder="1" applyAlignment="1">
      <alignment horizontal="center"/>
    </xf>
    <xf numFmtId="0" fontId="0" fillId="0" borderId="0" xfId="0" applyAlignment="1">
      <alignment horizontal="center"/>
    </xf>
    <xf numFmtId="3" fontId="0" fillId="0" borderId="0" xfId="0" applyNumberFormat="1" applyAlignment="1">
      <alignment horizontal="center"/>
    </xf>
    <xf numFmtId="3" fontId="0" fillId="0" borderId="0" xfId="0" applyNumberFormat="1"/>
    <xf numFmtId="0" fontId="32" fillId="0" borderId="0" xfId="0" applyFont="1" applyAlignment="1">
      <alignment horizontal="left"/>
    </xf>
    <xf numFmtId="165" fontId="0" fillId="0" borderId="35" xfId="0" applyNumberFormat="1" applyBorder="1" applyAlignment="1">
      <alignment horizontal="center"/>
    </xf>
    <xf numFmtId="165" fontId="0" fillId="0" borderId="0" xfId="0" applyNumberFormat="1" applyAlignment="1">
      <alignment horizontal="center"/>
    </xf>
    <xf numFmtId="0" fontId="16" fillId="0" borderId="0" xfId="0" applyFont="1" applyAlignment="1">
      <alignment horizontal="center"/>
    </xf>
    <xf numFmtId="171" fontId="33" fillId="0" borderId="0" xfId="0" applyNumberFormat="1" applyFont="1" applyAlignment="1">
      <alignment horizontal="center"/>
    </xf>
    <xf numFmtId="0" fontId="32" fillId="0" borderId="33" xfId="0" applyFont="1" applyBorder="1"/>
    <xf numFmtId="165" fontId="0" fillId="0" borderId="37" xfId="0" applyNumberFormat="1" applyBorder="1" applyAlignment="1">
      <alignment horizontal="center"/>
    </xf>
    <xf numFmtId="165" fontId="0" fillId="0" borderId="36" xfId="0" applyNumberFormat="1" applyBorder="1" applyAlignment="1">
      <alignment horizontal="center"/>
    </xf>
    <xf numFmtId="0" fontId="33" fillId="0" borderId="0" xfId="0" applyFont="1"/>
    <xf numFmtId="0" fontId="33" fillId="0" borderId="34" xfId="0" applyFont="1" applyBorder="1" applyAlignment="1">
      <alignment horizontal="center"/>
    </xf>
    <xf numFmtId="0" fontId="33" fillId="0" borderId="35" xfId="0" applyFont="1" applyBorder="1" applyAlignment="1">
      <alignment horizontal="center"/>
    </xf>
    <xf numFmtId="3" fontId="33" fillId="0" borderId="35" xfId="0" applyNumberFormat="1" applyFont="1" applyBorder="1" applyAlignment="1">
      <alignment horizontal="center"/>
    </xf>
    <xf numFmtId="3" fontId="9" fillId="5" borderId="1" xfId="0" applyNumberFormat="1" applyFont="1" applyFill="1" applyBorder="1"/>
    <xf numFmtId="165" fontId="0" fillId="0" borderId="0" xfId="0" applyNumberFormat="1"/>
    <xf numFmtId="6" fontId="0" fillId="0" borderId="0" xfId="0" applyNumberFormat="1"/>
    <xf numFmtId="164" fontId="0" fillId="0" borderId="0" xfId="0" applyNumberFormat="1"/>
    <xf numFmtId="2" fontId="0" fillId="0" borderId="0" xfId="0" applyNumberFormat="1"/>
    <xf numFmtId="0" fontId="10" fillId="4" borderId="0" xfId="0" applyFont="1" applyFill="1"/>
    <xf numFmtId="165" fontId="32" fillId="0" borderId="0" xfId="0" applyNumberFormat="1" applyFont="1"/>
    <xf numFmtId="6" fontId="32" fillId="0" borderId="0" xfId="0" applyNumberFormat="1" applyFont="1"/>
    <xf numFmtId="2" fontId="33" fillId="0" borderId="0" xfId="0" applyNumberFormat="1" applyFont="1" applyAlignment="1">
      <alignment horizontal="center"/>
    </xf>
    <xf numFmtId="2" fontId="19" fillId="0" borderId="0" xfId="0" applyNumberFormat="1" applyFont="1" applyAlignment="1">
      <alignment horizontal="center"/>
    </xf>
    <xf numFmtId="0" fontId="32" fillId="0" borderId="13" xfId="0" applyFont="1" applyBorder="1"/>
    <xf numFmtId="164" fontId="0" fillId="0" borderId="13" xfId="0" applyNumberFormat="1" applyBorder="1"/>
    <xf numFmtId="0" fontId="32" fillId="0" borderId="14" xfId="0" applyFont="1" applyBorder="1"/>
    <xf numFmtId="0" fontId="0" fillId="0" borderId="14" xfId="0" applyBorder="1"/>
    <xf numFmtId="6" fontId="0" fillId="0" borderId="13" xfId="0" applyNumberFormat="1" applyBorder="1"/>
    <xf numFmtId="10" fontId="33" fillId="0" borderId="0" xfId="0" applyNumberFormat="1" applyFont="1"/>
    <xf numFmtId="3" fontId="34" fillId="0" borderId="15" xfId="0" applyNumberFormat="1" applyFont="1" applyBorder="1" applyAlignment="1">
      <alignment horizontal="center"/>
    </xf>
    <xf numFmtId="4" fontId="34" fillId="0" borderId="17" xfId="0" applyNumberFormat="1" applyFont="1" applyBorder="1" applyAlignment="1">
      <alignment horizontal="center"/>
    </xf>
    <xf numFmtId="171" fontId="33" fillId="0" borderId="35" xfId="0" applyNumberFormat="1" applyFont="1" applyBorder="1" applyAlignment="1">
      <alignment horizontal="center"/>
    </xf>
    <xf numFmtId="2" fontId="0" fillId="0" borderId="35" xfId="0" applyNumberFormat="1" applyBorder="1" applyAlignment="1">
      <alignment horizontal="center"/>
    </xf>
    <xf numFmtId="0" fontId="16" fillId="16" borderId="0" xfId="0" applyFont="1" applyFill="1" applyAlignment="1">
      <alignment horizontal="center"/>
    </xf>
    <xf numFmtId="0" fontId="32" fillId="17" borderId="0" xfId="0" applyFont="1" applyFill="1"/>
    <xf numFmtId="0" fontId="0" fillId="17" borderId="0" xfId="0" applyFill="1"/>
    <xf numFmtId="0" fontId="1" fillId="17" borderId="0" xfId="1" applyFill="1"/>
    <xf numFmtId="0" fontId="32" fillId="3" borderId="38" xfId="0" applyFont="1" applyFill="1" applyBorder="1" applyAlignment="1">
      <alignment horizontal="centerContinuous"/>
    </xf>
    <xf numFmtId="0" fontId="0" fillId="3" borderId="39" xfId="0" applyFill="1" applyBorder="1" applyAlignment="1">
      <alignment horizontal="centerContinuous"/>
    </xf>
    <xf numFmtId="0" fontId="0" fillId="3" borderId="40" xfId="0" applyFill="1" applyBorder="1" applyAlignment="1">
      <alignment horizontal="centerContinuous"/>
    </xf>
    <xf numFmtId="0" fontId="32" fillId="3" borderId="41" xfId="0" applyFont="1" applyFill="1" applyBorder="1" applyAlignment="1">
      <alignment horizontal="centerContinuous"/>
    </xf>
    <xf numFmtId="0" fontId="32" fillId="3" borderId="42" xfId="0" applyFont="1" applyFill="1" applyBorder="1" applyAlignment="1">
      <alignment horizontal="centerContinuous"/>
    </xf>
    <xf numFmtId="0" fontId="32" fillId="3" borderId="21" xfId="0" applyFont="1" applyFill="1" applyBorder="1"/>
    <xf numFmtId="0" fontId="0" fillId="4" borderId="4" xfId="0" applyFill="1" applyBorder="1"/>
    <xf numFmtId="0" fontId="32" fillId="3" borderId="1" xfId="0" applyFont="1" applyFill="1" applyBorder="1"/>
    <xf numFmtId="6" fontId="35" fillId="4" borderId="17" xfId="0" applyNumberFormat="1" applyFont="1" applyFill="1" applyBorder="1"/>
    <xf numFmtId="10" fontId="0" fillId="4" borderId="0" xfId="0" applyNumberFormat="1" applyFill="1"/>
    <xf numFmtId="0" fontId="32" fillId="3" borderId="22" xfId="0" applyFont="1" applyFill="1" applyBorder="1"/>
    <xf numFmtId="0" fontId="0" fillId="4" borderId="22" xfId="0" applyFill="1" applyBorder="1"/>
    <xf numFmtId="6" fontId="35" fillId="4" borderId="6" xfId="0" applyNumberFormat="1" applyFont="1" applyFill="1" applyBorder="1"/>
    <xf numFmtId="0" fontId="32" fillId="3" borderId="43" xfId="0" applyFont="1" applyFill="1" applyBorder="1"/>
    <xf numFmtId="0" fontId="32" fillId="18" borderId="22" xfId="0" applyFont="1" applyFill="1" applyBorder="1"/>
    <xf numFmtId="2" fontId="32" fillId="18" borderId="14" xfId="0" applyNumberFormat="1" applyFont="1" applyFill="1" applyBorder="1" applyAlignment="1">
      <alignment horizontal="centerContinuous"/>
    </xf>
    <xf numFmtId="0" fontId="0" fillId="18" borderId="6" xfId="0" applyFill="1" applyBorder="1" applyAlignment="1">
      <alignment horizontal="centerContinuous"/>
    </xf>
    <xf numFmtId="6" fontId="0" fillId="4" borderId="4" xfId="0" applyNumberFormat="1" applyFill="1" applyBorder="1"/>
    <xf numFmtId="5" fontId="32" fillId="3" borderId="22" xfId="0" applyNumberFormat="1" applyFont="1" applyFill="1" applyBorder="1"/>
    <xf numFmtId="0" fontId="32" fillId="18" borderId="1" xfId="0" applyFont="1" applyFill="1" applyBorder="1"/>
    <xf numFmtId="165" fontId="32" fillId="18" borderId="16" xfId="0" applyNumberFormat="1" applyFont="1" applyFill="1" applyBorder="1" applyAlignment="1">
      <alignment horizontal="centerContinuous"/>
    </xf>
    <xf numFmtId="2" fontId="32" fillId="18" borderId="16" xfId="0" applyNumberFormat="1" applyFont="1" applyFill="1" applyBorder="1" applyAlignment="1">
      <alignment horizontal="centerContinuous"/>
    </xf>
    <xf numFmtId="0" fontId="0" fillId="18" borderId="17" xfId="0" applyFill="1" applyBorder="1" applyAlignment="1">
      <alignment horizontal="centerContinuous"/>
    </xf>
    <xf numFmtId="0" fontId="36" fillId="0" borderId="0" xfId="0" applyFont="1" applyAlignment="1">
      <alignment vertical="center"/>
    </xf>
    <xf numFmtId="0" fontId="0" fillId="4" borderId="0" xfId="0" applyFill="1" applyAlignment="1">
      <alignment horizontal="center"/>
    </xf>
    <xf numFmtId="0" fontId="16" fillId="15" borderId="0" xfId="0" applyFont="1" applyFill="1" applyAlignment="1">
      <alignment horizontal="center" vertical="center"/>
    </xf>
    <xf numFmtId="0" fontId="0" fillId="4" borderId="13" xfId="0" applyFill="1" applyBorder="1" applyAlignment="1">
      <alignment horizontal="center"/>
    </xf>
    <xf numFmtId="0" fontId="0" fillId="12" borderId="20" xfId="0" applyFill="1" applyBorder="1" applyAlignment="1">
      <alignment horizontal="center" vertical="center" wrapText="1"/>
    </xf>
    <xf numFmtId="0" fontId="0" fillId="4" borderId="21" xfId="0" applyFill="1" applyBorder="1" applyAlignment="1">
      <alignment horizontal="center"/>
    </xf>
    <xf numFmtId="0" fontId="0" fillId="4" borderId="20" xfId="0" applyFill="1" applyBorder="1" applyAlignment="1">
      <alignment horizontal="center"/>
    </xf>
    <xf numFmtId="0" fontId="0" fillId="12" borderId="20" xfId="0" applyFill="1" applyBorder="1" applyAlignment="1">
      <alignment vertical="center" wrapText="1"/>
    </xf>
    <xf numFmtId="0" fontId="32" fillId="4" borderId="15" xfId="0" applyFont="1" applyFill="1" applyBorder="1"/>
    <xf numFmtId="2" fontId="32" fillId="4" borderId="16" xfId="0" applyNumberFormat="1" applyFont="1" applyFill="1" applyBorder="1" applyAlignment="1">
      <alignment horizontal="center"/>
    </xf>
    <xf numFmtId="172" fontId="32" fillId="4" borderId="17" xfId="0" applyNumberFormat="1" applyFont="1" applyFill="1" applyBorder="1" applyAlignment="1">
      <alignment horizontal="left"/>
    </xf>
    <xf numFmtId="172" fontId="32" fillId="4" borderId="21" xfId="0" applyNumberFormat="1" applyFont="1" applyFill="1" applyBorder="1" applyAlignment="1">
      <alignment horizontal="left"/>
    </xf>
    <xf numFmtId="172" fontId="32" fillId="4" borderId="20" xfId="0" applyNumberFormat="1" applyFont="1" applyFill="1" applyBorder="1" applyAlignment="1">
      <alignment horizontal="left"/>
    </xf>
    <xf numFmtId="0" fontId="16" fillId="15" borderId="3" xfId="0" applyFont="1" applyFill="1" applyBorder="1" applyAlignment="1">
      <alignment horizontal="center" vertical="center"/>
    </xf>
    <xf numFmtId="0" fontId="0" fillId="4" borderId="3" xfId="0" applyFill="1" applyBorder="1" applyAlignment="1">
      <alignment horizontal="center"/>
    </xf>
    <xf numFmtId="0" fontId="0" fillId="4" borderId="2" xfId="0" applyFill="1" applyBorder="1"/>
    <xf numFmtId="3" fontId="0" fillId="20" borderId="0" xfId="0" applyNumberFormat="1" applyFill="1" applyAlignment="1">
      <alignment horizontal="center"/>
    </xf>
    <xf numFmtId="3" fontId="33" fillId="21" borderId="35" xfId="0" applyNumberFormat="1" applyFont="1" applyFill="1" applyBorder="1" applyAlignment="1">
      <alignment horizontal="center"/>
    </xf>
    <xf numFmtId="3" fontId="0" fillId="21" borderId="0" xfId="0" applyNumberFormat="1" applyFill="1" applyAlignment="1">
      <alignment horizontal="center"/>
    </xf>
    <xf numFmtId="3" fontId="0" fillId="19" borderId="0" xfId="0" applyNumberFormat="1" applyFill="1"/>
    <xf numFmtId="2" fontId="0" fillId="19" borderId="0" xfId="0" applyNumberFormat="1" applyFill="1"/>
    <xf numFmtId="3" fontId="0" fillId="4" borderId="0" xfId="0" applyNumberFormat="1" applyFill="1"/>
    <xf numFmtId="0" fontId="33" fillId="0" borderId="0" xfId="0" applyFont="1" applyAlignment="1">
      <alignment horizontal="center"/>
    </xf>
    <xf numFmtId="0" fontId="0" fillId="19" borderId="0" xfId="0" applyFill="1"/>
    <xf numFmtId="173" fontId="0" fillId="4" borderId="0" xfId="9" applyNumberFormat="1" applyFont="1" applyFill="1"/>
    <xf numFmtId="170" fontId="9" fillId="2" borderId="2" xfId="0" applyNumberFormat="1" applyFont="1" applyFill="1" applyBorder="1"/>
    <xf numFmtId="6" fontId="9" fillId="2" borderId="13" xfId="0" applyNumberFormat="1" applyFont="1" applyFill="1" applyBorder="1"/>
    <xf numFmtId="2" fontId="9" fillId="5" borderId="1" xfId="0" applyNumberFormat="1" applyFont="1" applyFill="1" applyBorder="1"/>
    <xf numFmtId="164" fontId="0" fillId="4" borderId="0" xfId="0" applyNumberFormat="1" applyFill="1"/>
    <xf numFmtId="0" fontId="19" fillId="0" borderId="0" xfId="0" applyFont="1"/>
    <xf numFmtId="165" fontId="0" fillId="0" borderId="4" xfId="0" applyNumberFormat="1" applyBorder="1"/>
    <xf numFmtId="2" fontId="19" fillId="19" borderId="0" xfId="0" applyNumberFormat="1" applyFont="1" applyFill="1"/>
    <xf numFmtId="0" fontId="32" fillId="0" borderId="15" xfId="0" applyFont="1" applyBorder="1"/>
    <xf numFmtId="0" fontId="32" fillId="0" borderId="16" xfId="0" applyFont="1" applyBorder="1"/>
    <xf numFmtId="165" fontId="32" fillId="0" borderId="16" xfId="0" applyNumberFormat="1" applyFont="1" applyBorder="1"/>
    <xf numFmtId="165" fontId="32" fillId="0" borderId="17" xfId="0" applyNumberFormat="1" applyFont="1" applyBorder="1"/>
    <xf numFmtId="3" fontId="0" fillId="20" borderId="35" xfId="0" applyNumberFormat="1" applyFill="1" applyBorder="1" applyAlignment="1">
      <alignment horizontal="center"/>
    </xf>
    <xf numFmtId="0" fontId="22" fillId="9" borderId="1" xfId="0" applyFont="1" applyFill="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8" xfId="0" applyFont="1" applyBorder="1" applyAlignment="1">
      <alignment horizontal="left" vertical="top" wrapText="1"/>
    </xf>
    <xf numFmtId="0" fontId="2" fillId="0" borderId="12"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left" vertical="top"/>
    </xf>
    <xf numFmtId="0" fontId="2" fillId="0" borderId="0" xfId="0" applyFont="1" applyAlignment="1">
      <alignment horizontal="left" vertical="top"/>
    </xf>
    <xf numFmtId="0" fontId="2" fillId="0" borderId="4" xfId="0" applyFont="1" applyBorder="1" applyAlignment="1">
      <alignment horizontal="left" vertical="top"/>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6" xfId="0" applyFont="1" applyFill="1" applyBorder="1" applyAlignment="1">
      <alignment horizontal="center" vertical="center"/>
    </xf>
    <xf numFmtId="0" fontId="23" fillId="9" borderId="1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2" fillId="0" borderId="10" xfId="0" applyFont="1" applyBorder="1" applyAlignment="1">
      <alignment horizontal="left" vertical="top" wrapText="1"/>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2" fontId="32" fillId="0" borderId="13" xfId="0" applyNumberFormat="1" applyFont="1" applyBorder="1" applyAlignment="1">
      <alignment horizontal="center"/>
    </xf>
    <xf numFmtId="0" fontId="32" fillId="0" borderId="13" xfId="0" applyFont="1" applyBorder="1" applyAlignment="1">
      <alignment horizontal="center"/>
    </xf>
    <xf numFmtId="0" fontId="32" fillId="0" borderId="23" xfId="0" applyFont="1" applyBorder="1" applyAlignment="1">
      <alignment horizontal="center"/>
    </xf>
    <xf numFmtId="0" fontId="38" fillId="0" borderId="9" xfId="0" applyFont="1" applyBorder="1"/>
    <xf numFmtId="0" fontId="36" fillId="0" borderId="2" xfId="0" applyFont="1" applyBorder="1" applyAlignment="1">
      <alignment horizontal="left" vertical="center" indent="1"/>
    </xf>
    <xf numFmtId="0" fontId="36" fillId="0" borderId="23" xfId="0" applyFont="1" applyBorder="1" applyAlignment="1">
      <alignment horizontal="left" vertical="center" indent="1"/>
    </xf>
    <xf numFmtId="49" fontId="0" fillId="19" borderId="3" xfId="0" applyNumberFormat="1" applyFill="1" applyBorder="1" applyAlignment="1">
      <alignment horizontal="right"/>
    </xf>
    <xf numFmtId="2" fontId="0" fillId="19" borderId="0" xfId="0" applyNumberFormat="1" applyFill="1" applyBorder="1" applyAlignment="1">
      <alignment horizontal="right"/>
    </xf>
    <xf numFmtId="171" fontId="0" fillId="19" borderId="0" xfId="0" applyNumberFormat="1" applyFill="1" applyBorder="1" applyAlignment="1">
      <alignment horizontal="right"/>
    </xf>
    <xf numFmtId="0" fontId="36" fillId="19" borderId="4" xfId="0" applyFont="1" applyFill="1" applyBorder="1" applyAlignment="1">
      <alignment horizontal="left" vertical="center" indent="1"/>
    </xf>
    <xf numFmtId="49" fontId="0" fillId="19" borderId="0" xfId="0" applyNumberFormat="1" applyFill="1" applyBorder="1" applyAlignment="1">
      <alignment horizontal="right"/>
    </xf>
    <xf numFmtId="0" fontId="0" fillId="0" borderId="15" xfId="0" applyBorder="1"/>
    <xf numFmtId="0" fontId="0" fillId="0" borderId="16" xfId="0" applyBorder="1"/>
    <xf numFmtId="171" fontId="0" fillId="0" borderId="16" xfId="0" applyNumberFormat="1" applyBorder="1"/>
    <xf numFmtId="0" fontId="0" fillId="0" borderId="6" xfId="0" applyBorder="1"/>
    <xf numFmtId="10" fontId="32" fillId="0" borderId="45" xfId="0" applyNumberFormat="1" applyFont="1" applyBorder="1"/>
    <xf numFmtId="0" fontId="39" fillId="0" borderId="44" xfId="0" applyFont="1" applyBorder="1"/>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2">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
      <fill>
        <patternFill>
          <bgColor theme="2"/>
        </patternFill>
      </fill>
    </dxf>
  </dxfs>
  <tableStyles count="0" defaultTableStyle="TableStyleMedium2" defaultPivotStyle="PivotStyleLight16"/>
  <colors>
    <mruColors>
      <color rgb="FF0000FF"/>
      <color rgb="FF548235"/>
      <color rgb="FFA9D08E"/>
      <color rgb="FFFFFFCC"/>
      <color rgb="FFBFBFB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dirving.sharepoint.com/sites/NBMR-Engineering/Shared%20Documents/NTCF/Scope/2021%20Quote%20Sheet-%20WORKING_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jdirving.sharepoint.com/A155580/MyData/Quote%20to%20Presentation%20Macro.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cbkierst/Local%20Settings/Temporary%20Internet%20Files/Content.Outlook/26EM6KJV/Quotes%20%20Sheet%20Based%20on%20Steve%20W%20model%20fro%20100%20TF%2002.26.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SXGA/SafeSync/Grants/Completed%20Grants/2021%20RAISE%20MDOT%20Frenchville/Frenchville%20US1/BCA/HSM%20Frenchville%20-%20Ft%20Kent%20Rural%20Segment%20Proposed%20Safety%20Improveme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tion Generator"/>
      <sheetName val="Proposal"/>
      <sheetName val="Pricing Index"/>
      <sheetName val="Sheet1"/>
    </sheetNames>
    <sheetDataSet>
      <sheetData sheetId="0" refreshError="1"/>
      <sheetData sheetId="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ting"/>
      <sheetName val="Summary as Quote"/>
      <sheetName val="Sheet1"/>
      <sheetName val="NBSR COST"/>
      <sheetName val="Equipment &amp; Labour Pricing"/>
      <sheetName val="Turnout Pricing Cost #8"/>
      <sheetName val="Turnout Pricing Cost #10"/>
      <sheetName val="Pricing"/>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NBSR COST"/>
      <sheetName val="Sheet2"/>
      <sheetName val="Pricing"/>
      <sheetName val="Sheet3"/>
    </sheetNames>
    <sheetDataSet>
      <sheetData sheetId="0"/>
      <sheetData sheetId="1"/>
      <sheetData sheetId="2">
        <row r="43">
          <cell r="A43" t="str">
            <v>75 Ton Crane</v>
          </cell>
        </row>
        <row r="44">
          <cell r="A44" t="str">
            <v>Little Giant Crane</v>
          </cell>
        </row>
        <row r="45">
          <cell r="A45" t="str">
            <v>Loader</v>
          </cell>
        </row>
        <row r="46">
          <cell r="A46" t="str">
            <v>Backhoe</v>
          </cell>
        </row>
        <row r="47">
          <cell r="A47" t="str">
            <v>Ballast Regulator</v>
          </cell>
        </row>
        <row r="48">
          <cell r="A48" t="str">
            <v>Blower</v>
          </cell>
        </row>
        <row r="49">
          <cell r="A49" t="str">
            <v>5 Ton</v>
          </cell>
        </row>
        <row r="50">
          <cell r="A50" t="str">
            <v>Buttpicker</v>
          </cell>
        </row>
        <row r="51">
          <cell r="A51" t="str">
            <v>Crew Cab</v>
          </cell>
        </row>
        <row r="52">
          <cell r="A52" t="str">
            <v>Fuel Surcharge</v>
          </cell>
        </row>
        <row r="53">
          <cell r="A53" t="str">
            <v>Ice &amp; Asphalt Cutter</v>
          </cell>
        </row>
        <row r="54">
          <cell r="A54" t="str">
            <v>Jackson Tamper</v>
          </cell>
        </row>
        <row r="55">
          <cell r="A55" t="str">
            <v>Petti-boom</v>
          </cell>
        </row>
        <row r="56">
          <cell r="A56" t="str">
            <v>Power Pack</v>
          </cell>
        </row>
        <row r="57">
          <cell r="A57" t="str">
            <v>Pressure Washer</v>
          </cell>
        </row>
        <row r="58">
          <cell r="A58" t="str">
            <v>Rail Lifter</v>
          </cell>
        </row>
        <row r="59">
          <cell r="A59" t="str">
            <v>Saw/Drill</v>
          </cell>
        </row>
        <row r="60">
          <cell r="A60" t="str">
            <v>Spike Puller</v>
          </cell>
        </row>
        <row r="61">
          <cell r="A61" t="str">
            <v>Spiker</v>
          </cell>
        </row>
        <row r="62">
          <cell r="A62" t="str">
            <v>Tamper</v>
          </cell>
        </row>
        <row r="63">
          <cell r="A63" t="str">
            <v>Tamper &amp; Regulator</v>
          </cell>
        </row>
        <row r="64">
          <cell r="A64" t="str">
            <v>Tie Inserter</v>
          </cell>
        </row>
        <row r="65">
          <cell r="A65" t="str">
            <v>Torches</v>
          </cell>
        </row>
        <row r="66">
          <cell r="A66" t="str">
            <v>Welding Truck</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egment 1"/>
      <sheetName val="Rural 2-Lane Site Total"/>
      <sheetName val="PW Costs"/>
      <sheetName val="10 Year PW Costs"/>
      <sheetName val="Final Safety Benefit"/>
      <sheetName val="Segment Table Costs"/>
      <sheetName val="Rural 2-Lane Project Total"/>
      <sheetName val="Segment Tables"/>
      <sheetName val="Construction - Do Not Delete"/>
    </sheetNames>
    <sheetDataSet>
      <sheetData sheetId="0"/>
      <sheetData sheetId="1"/>
      <sheetData sheetId="2"/>
      <sheetData sheetId="3"/>
      <sheetData sheetId="4"/>
      <sheetData sheetId="5"/>
      <sheetData sheetId="6"/>
      <sheetData sheetId="7"/>
      <sheetData sheetId="8"/>
      <sheetData sheetId="9">
        <row r="29">
          <cell r="D29" t="str">
            <v>3ST</v>
          </cell>
        </row>
        <row r="30">
          <cell r="D30" t="str">
            <v>4ST</v>
          </cell>
        </row>
        <row r="31">
          <cell r="D31" t="str">
            <v>4SG</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d5x8rk04.na1.hs-sales-engage.com/Ctc/UE+23284/d5x8Rk04/Jl22-6qcW7lCdLW6lZ3n8W5htXx_41vLD4W6xL_dd5-MQYdW5fJlNt6s_9ltW3cGdrn5tlJ2fW7bc-XV7FYwmjW6t7CHn1kqGd2W9k3Z2F5GmD1yW7DHGXX9c00rMW5_WhJm4D3tGYW51gbrd2sW5WlW5tV4_d4PV_QCW6zy-S87XNzr8VmdlkZ70D0XZVZ0fNC218P6bW5mVdrk4qZfZpW1QVtks7wldGFW44nk9H7rW_WvN2zLttK_Hl2jW39N6-P1YVNtHW6x-l2Z3LNP39N1sMJWkf3bfjN1nHXLt3YfPfW6_HsrH6ZhdjkW7_W9sT58xrD8f7tZ2sW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zoomScale="130" zoomScaleNormal="130" workbookViewId="0"/>
  </sheetViews>
  <sheetFormatPr defaultColWidth="9.1796875" defaultRowHeight="14.5" x14ac:dyDescent="0.35"/>
  <cols>
    <col min="1" max="1" width="72.81640625" style="5" customWidth="1"/>
    <col min="2" max="2" width="11.26953125" style="5" bestFit="1" customWidth="1"/>
    <col min="3" max="16384" width="9.1796875" style="5"/>
  </cols>
  <sheetData>
    <row r="1" spans="1:1" ht="20" thickBot="1" x14ac:dyDescent="0.5">
      <c r="A1" s="45" t="s">
        <v>321</v>
      </c>
    </row>
    <row r="2" spans="1:1" ht="15" thickTop="1" x14ac:dyDescent="0.35">
      <c r="A2" s="46" t="s">
        <v>199</v>
      </c>
    </row>
    <row r="3" spans="1:1" ht="17.5" thickBot="1" x14ac:dyDescent="0.45">
      <c r="A3" s="48" t="s">
        <v>322</v>
      </c>
    </row>
    <row r="4" spans="1:1" ht="76" customHeight="1" thickTop="1" x14ac:dyDescent="0.35">
      <c r="A4" s="50" t="s">
        <v>323</v>
      </c>
    </row>
    <row r="5" spans="1:1" x14ac:dyDescent="0.35">
      <c r="A5" s="46" t="s">
        <v>200</v>
      </c>
    </row>
    <row r="6" spans="1:1" ht="17.5" thickBot="1" x14ac:dyDescent="0.45">
      <c r="A6" s="47" t="s">
        <v>201</v>
      </c>
    </row>
    <row r="7" spans="1:1" ht="15" thickTop="1" x14ac:dyDescent="0.35">
      <c r="A7" s="52" t="s">
        <v>324</v>
      </c>
    </row>
    <row r="8" spans="1:1" x14ac:dyDescent="0.35">
      <c r="A8" s="52" t="s">
        <v>325</v>
      </c>
    </row>
    <row r="9" spans="1:1" ht="29" x14ac:dyDescent="0.35">
      <c r="A9" s="51" t="s">
        <v>326</v>
      </c>
    </row>
    <row r="10" spans="1:1" x14ac:dyDescent="0.35">
      <c r="A10" s="53" t="str">
        <f>HYPERLINK("https://www.transportation.gov/mission/office-secretary/office-policy/transportation-policy/benefit-cost-analysis-guidance", "See USDOT BCA Guidance for full details.")</f>
        <v>See USDOT BCA Guidance for full details.</v>
      </c>
    </row>
    <row r="11" spans="1:1" x14ac:dyDescent="0.35">
      <c r="A11" s="46" t="s">
        <v>199</v>
      </c>
    </row>
    <row r="12" spans="1:1" ht="17.5" thickBot="1" x14ac:dyDescent="0.45">
      <c r="A12" s="47" t="s">
        <v>202</v>
      </c>
    </row>
    <row r="13" spans="1:1" ht="15" thickTop="1" x14ac:dyDescent="0.35">
      <c r="A13" s="54" t="s">
        <v>304</v>
      </c>
    </row>
    <row r="14" spans="1:1" ht="29" x14ac:dyDescent="0.35">
      <c r="A14" s="166" t="s">
        <v>327</v>
      </c>
    </row>
    <row r="15" spans="1:1" ht="29" x14ac:dyDescent="0.35">
      <c r="A15" s="167" t="s">
        <v>328</v>
      </c>
    </row>
    <row r="16" spans="1:1" ht="29" x14ac:dyDescent="0.35">
      <c r="A16" s="169" t="s">
        <v>329</v>
      </c>
    </row>
    <row r="17" spans="1:2" ht="43.5" x14ac:dyDescent="0.35">
      <c r="A17" s="49" t="s">
        <v>263</v>
      </c>
    </row>
    <row r="18" spans="1:2" x14ac:dyDescent="0.35">
      <c r="A18" s="49" t="s">
        <v>256</v>
      </c>
    </row>
    <row r="19" spans="1:2" ht="43.5" x14ac:dyDescent="0.35">
      <c r="A19" s="55" t="s">
        <v>305</v>
      </c>
    </row>
    <row r="22" spans="1:2" x14ac:dyDescent="0.35">
      <c r="A22" s="6" t="s">
        <v>160</v>
      </c>
      <c r="B22" s="174">
        <v>2023</v>
      </c>
    </row>
    <row r="23" spans="1:2" x14ac:dyDescent="0.35">
      <c r="A23" s="2" t="s">
        <v>330</v>
      </c>
      <c r="B23" s="175">
        <v>45677</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10"/>
  <sheetViews>
    <sheetView topLeftCell="A6" zoomScale="61" workbookViewId="0">
      <selection activeCell="I37" sqref="I37"/>
    </sheetView>
  </sheetViews>
  <sheetFormatPr defaultColWidth="9.1796875" defaultRowHeight="14.5" x14ac:dyDescent="0.35"/>
  <cols>
    <col min="1" max="1" width="28.54296875" style="5" customWidth="1"/>
    <col min="2" max="2" width="27.453125" style="5" customWidth="1"/>
    <col min="3" max="3" width="28.81640625" style="5" customWidth="1"/>
    <col min="4" max="4" width="30.81640625" style="5" customWidth="1"/>
    <col min="5" max="7" width="9.1796875" style="5"/>
    <col min="8" max="8" width="48.6328125" style="5" customWidth="1"/>
    <col min="9" max="9" width="15.6328125" style="5" bestFit="1" customWidth="1"/>
    <col min="10" max="10" width="22.453125" style="5" bestFit="1" customWidth="1"/>
    <col min="11" max="16384" width="9.1796875" style="5"/>
  </cols>
  <sheetData>
    <row r="1" spans="1:10" ht="20" thickBot="1" x14ac:dyDescent="0.5">
      <c r="A1" s="96" t="s">
        <v>9</v>
      </c>
    </row>
    <row r="2" spans="1:10" ht="15" thickTop="1" x14ac:dyDescent="0.35">
      <c r="A2" s="152" t="s">
        <v>244</v>
      </c>
      <c r="B2" s="152"/>
      <c r="C2" s="152"/>
      <c r="D2" s="152"/>
      <c r="E2" s="152"/>
      <c r="F2" s="152"/>
      <c r="G2" s="152"/>
    </row>
    <row r="3" spans="1:10" x14ac:dyDescent="0.35">
      <c r="A3" s="5" t="s">
        <v>204</v>
      </c>
    </row>
    <row r="4" spans="1:10" x14ac:dyDescent="0.35">
      <c r="A4" s="153" t="s">
        <v>356</v>
      </c>
      <c r="B4" s="152"/>
      <c r="C4" s="152"/>
      <c r="D4" s="152"/>
      <c r="E4" s="152"/>
      <c r="F4" s="152"/>
      <c r="G4" s="152"/>
      <c r="H4" s="152"/>
      <c r="I4" s="152"/>
      <c r="J4" s="152"/>
    </row>
    <row r="5" spans="1:10" x14ac:dyDescent="0.35">
      <c r="A5" s="38" t="s">
        <v>204</v>
      </c>
    </row>
    <row r="6" spans="1:10" x14ac:dyDescent="0.35">
      <c r="A6" s="97" t="s">
        <v>245</v>
      </c>
    </row>
    <row r="7" spans="1:10" x14ac:dyDescent="0.35">
      <c r="A7" s="116" t="s">
        <v>33</v>
      </c>
      <c r="B7" s="116" t="s">
        <v>357</v>
      </c>
    </row>
    <row r="8" spans="1:10" x14ac:dyDescent="0.35">
      <c r="A8" s="35" t="s">
        <v>186</v>
      </c>
      <c r="B8" s="39">
        <f>'Parameter Values'!B24</f>
        <v>19.399999999999999</v>
      </c>
    </row>
    <row r="9" spans="1:10" x14ac:dyDescent="0.35">
      <c r="A9" s="35" t="s">
        <v>182</v>
      </c>
      <c r="B9" s="39">
        <f>'Parameter Values'!B25</f>
        <v>33.5</v>
      </c>
    </row>
    <row r="10" spans="1:10" x14ac:dyDescent="0.35">
      <c r="A10" s="35" t="s">
        <v>183</v>
      </c>
      <c r="B10" s="39">
        <f>'Parameter Values'!B26</f>
        <v>21.1</v>
      </c>
    </row>
    <row r="11" spans="1:10" ht="29" x14ac:dyDescent="0.35">
      <c r="A11" s="35" t="s">
        <v>184</v>
      </c>
      <c r="B11" s="39">
        <f>'Parameter Values'!B28</f>
        <v>38.799999999999997</v>
      </c>
    </row>
    <row r="12" spans="1:10" x14ac:dyDescent="0.35">
      <c r="A12" s="35" t="s">
        <v>185</v>
      </c>
      <c r="B12" s="39"/>
    </row>
    <row r="13" spans="1:10" x14ac:dyDescent="0.35">
      <c r="A13" s="35" t="s">
        <v>36</v>
      </c>
      <c r="B13" s="39">
        <f>'Parameter Values'!B31</f>
        <v>35.700000000000003</v>
      </c>
    </row>
    <row r="14" spans="1:10" x14ac:dyDescent="0.35">
      <c r="A14" s="35" t="s">
        <v>37</v>
      </c>
      <c r="B14" s="39">
        <f>'Parameter Values'!B32</f>
        <v>42.6</v>
      </c>
    </row>
    <row r="15" spans="1:10" x14ac:dyDescent="0.35">
      <c r="A15" s="35" t="s">
        <v>38</v>
      </c>
      <c r="B15" s="39">
        <f>'Parameter Values'!B33</f>
        <v>59.6</v>
      </c>
    </row>
    <row r="16" spans="1:10" x14ac:dyDescent="0.35">
      <c r="A16" s="35" t="s">
        <v>39</v>
      </c>
      <c r="B16" s="39">
        <f>'Parameter Values'!B34</f>
        <v>52.9</v>
      </c>
    </row>
    <row r="17" spans="1:54" x14ac:dyDescent="0.35">
      <c r="A17" s="38" t="s">
        <v>204</v>
      </c>
    </row>
    <row r="18" spans="1:54" ht="15" thickBot="1" x14ac:dyDescent="0.4">
      <c r="A18" s="97" t="s">
        <v>247</v>
      </c>
    </row>
    <row r="19" spans="1:54" x14ac:dyDescent="0.35">
      <c r="A19" s="107" t="s">
        <v>4</v>
      </c>
      <c r="B19" s="108" t="s">
        <v>175</v>
      </c>
      <c r="C19" s="108" t="s">
        <v>176</v>
      </c>
      <c r="D19" s="114" t="s">
        <v>169</v>
      </c>
      <c r="G19" s="10" t="s">
        <v>161</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35">
      <c r="A20" s="6">
        <f>'Project Information'!$B$9</f>
        <v>2033</v>
      </c>
      <c r="B20" s="269">
        <f>'User Volumes'!L10*$I$50</f>
        <v>318963.12357142864</v>
      </c>
      <c r="C20" s="269">
        <f>'User Volumes'!M10*$I$51</f>
        <v>72218.065714285724</v>
      </c>
      <c r="D20" s="26">
        <f>B20-C20</f>
        <v>246745.05785714294</v>
      </c>
      <c r="G20" s="13"/>
      <c r="H20" s="198"/>
      <c r="I20" s="20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5">
      <c r="A21" s="1">
        <f>IF(A20&lt;'Project Information'!B$11,A20+1,"")</f>
        <v>2034</v>
      </c>
      <c r="B21" s="269">
        <f>'User Volumes'!L11*$I$50</f>
        <v>319601.04981857148</v>
      </c>
      <c r="C21" s="269">
        <f>'User Volumes'!M11*$I$51</f>
        <v>72362.501845714301</v>
      </c>
      <c r="D21" s="8">
        <f t="shared" ref="D21:D49" si="0">B21-C21</f>
        <v>247238.5479728572</v>
      </c>
      <c r="G21" s="13"/>
      <c r="H21" s="218" t="s">
        <v>481</v>
      </c>
      <c r="I21" s="219"/>
      <c r="J21" s="219"/>
      <c r="K21" s="219"/>
      <c r="L21" s="219"/>
      <c r="M21" s="219"/>
      <c r="N21" s="219"/>
      <c r="O21" s="219"/>
      <c r="P21" s="219"/>
      <c r="Q21" s="219"/>
      <c r="R21" s="219"/>
      <c r="S21" s="219"/>
      <c r="T21" s="219"/>
      <c r="U21" s="219"/>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35">
      <c r="A22" s="1">
        <f>IF(A21&lt;'Project Information'!B$11,A21+1,"")</f>
        <v>2035</v>
      </c>
      <c r="B22" s="269">
        <f>'User Volumes'!L12*$I$50</f>
        <v>320240.25191820867</v>
      </c>
      <c r="C22" s="269">
        <f>'User Volumes'!M12*$I$51</f>
        <v>72507.226849405735</v>
      </c>
      <c r="D22" s="8">
        <f t="shared" si="0"/>
        <v>247733.02506880293</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5">
      <c r="A23" s="1">
        <f>IF(A22&lt;'Project Information'!B$11,A22+1,"")</f>
        <v>2036</v>
      </c>
      <c r="B23" s="269">
        <f>'User Volumes'!L13*$I$50</f>
        <v>320880.73242204508</v>
      </c>
      <c r="C23" s="269">
        <f>'User Volumes'!M13*$I$51</f>
        <v>72652.241303104543</v>
      </c>
      <c r="D23" s="8">
        <f t="shared" si="0"/>
        <v>248228.49111894052</v>
      </c>
      <c r="G23" s="13"/>
      <c r="H23" t="s">
        <v>425</v>
      </c>
      <c r="I23" s="212">
        <v>0.1</v>
      </c>
      <c r="J23" t="s">
        <v>426</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2037</v>
      </c>
      <c r="B24" s="269">
        <f>'User Volumes'!L14*$I$50</f>
        <v>321522.49388688913</v>
      </c>
      <c r="C24" s="269">
        <f>'User Volumes'!M14*$I$51</f>
        <v>72797.545785710754</v>
      </c>
      <c r="D24" s="8">
        <f t="shared" si="0"/>
        <v>248724.94810117839</v>
      </c>
      <c r="G24" s="13"/>
      <c r="H24" t="s">
        <v>427</v>
      </c>
      <c r="I24" s="212">
        <v>0.1</v>
      </c>
      <c r="J24" t="s">
        <v>426</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2038</v>
      </c>
      <c r="B25" s="269">
        <f>'User Volumes'!L15*$I$50</f>
        <v>322165.53887466289</v>
      </c>
      <c r="C25" s="269">
        <f>'User Volumes'!M15*$I$51</f>
        <v>72943.14087728216</v>
      </c>
      <c r="D25" s="8">
        <f t="shared" si="0"/>
        <v>249222.39799738073</v>
      </c>
      <c r="G25" s="13"/>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2039</v>
      </c>
      <c r="B26" s="269">
        <f>'User Volumes'!L16*$I$50</f>
        <v>322809.86995241221</v>
      </c>
      <c r="C26" s="269">
        <f>'User Volumes'!M16*$I$51</f>
        <v>73089.027159036719</v>
      </c>
      <c r="D26" s="8">
        <f t="shared" si="0"/>
        <v>249720.84279337549</v>
      </c>
      <c r="G26" s="13"/>
      <c r="H26" t="s">
        <v>429</v>
      </c>
      <c r="I26" s="193">
        <v>3.2</v>
      </c>
      <c r="J26" t="s">
        <v>421</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2040</v>
      </c>
      <c r="B27" s="269">
        <f>'User Volumes'!L17*$I$50</f>
        <v>323455.48969231703</v>
      </c>
      <c r="C27" s="269">
        <f>'User Volumes'!M17*$I$51</f>
        <v>73235.205213354799</v>
      </c>
      <c r="D27" s="8">
        <f t="shared" si="0"/>
        <v>250220.28447896225</v>
      </c>
      <c r="G27" s="13"/>
      <c r="H27" t="s">
        <v>430</v>
      </c>
      <c r="I27" s="193">
        <v>9.8000000000000007</v>
      </c>
      <c r="J27" t="s">
        <v>421</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2041</v>
      </c>
      <c r="B28" s="269">
        <f>'User Volumes'!L18*$I$50</f>
        <v>324102.4006717017</v>
      </c>
      <c r="C28" s="269">
        <f>'User Volumes'!M18*$I$51</f>
        <v>73381.675623781513</v>
      </c>
      <c r="D28" s="8">
        <f t="shared" si="0"/>
        <v>250720.72504792019</v>
      </c>
      <c r="G28" s="13"/>
      <c r="H28" t="s">
        <v>378</v>
      </c>
      <c r="I28" s="201">
        <f>Inputs!E29</f>
        <v>0.86</v>
      </c>
      <c r="J28" t="s">
        <v>401</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2042</v>
      </c>
      <c r="B29" s="269">
        <f>'User Volumes'!L19*$I$50</f>
        <v>324750.60547304509</v>
      </c>
      <c r="C29" s="269">
        <f>'User Volumes'!M19*$I$51</f>
        <v>73528.438975029072</v>
      </c>
      <c r="D29" s="8">
        <f t="shared" si="0"/>
        <v>251222.16649801601</v>
      </c>
      <c r="G29" s="13"/>
      <c r="H29" t="s">
        <v>387</v>
      </c>
      <c r="I29" s="201">
        <f>Inputs!E30</f>
        <v>2.38</v>
      </c>
      <c r="J29" t="s">
        <v>402</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2043</v>
      </c>
      <c r="B30" s="269">
        <f>'User Volumes'!L20*$I$50</f>
        <v>325400.10668399121</v>
      </c>
      <c r="C30" s="269">
        <f>'User Volumes'!M20*$I$51</f>
        <v>73675.495852979133</v>
      </c>
      <c r="D30" s="8">
        <f t="shared" si="0"/>
        <v>251724.61083101208</v>
      </c>
      <c r="G30" s="13"/>
      <c r="H30" t="s">
        <v>431</v>
      </c>
      <c r="I30" s="201">
        <f>I28/I26</f>
        <v>0.26874999999999999</v>
      </c>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2044</v>
      </c>
      <c r="B31" s="269">
        <f>'User Volumes'!L21*$I$50</f>
        <v>326050.90689735918</v>
      </c>
      <c r="C31" s="269">
        <f>'User Volumes'!M21*$I$51</f>
        <v>73822.846844685089</v>
      </c>
      <c r="D31" s="8">
        <f t="shared" si="0"/>
        <v>252228.06005267409</v>
      </c>
      <c r="G31" s="13"/>
      <c r="H31" t="s">
        <v>432</v>
      </c>
      <c r="I31" s="201">
        <f>I29/I27</f>
        <v>0.24285714285714283</v>
      </c>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2045</v>
      </c>
      <c r="B32" s="269">
        <f>'User Volumes'!L22*$I$50</f>
        <v>326703.00871115387</v>
      </c>
      <c r="C32" s="269">
        <f>'User Volumes'!M22*$I$51</f>
        <v>73970.49253837447</v>
      </c>
      <c r="D32" s="8">
        <f t="shared" si="0"/>
        <v>252732.5161727794</v>
      </c>
      <c r="G32" s="13"/>
      <c r="H32" t="s">
        <v>433</v>
      </c>
      <c r="I32">
        <f>(I28-$I$45)/I26</f>
        <v>0.17500000000000002</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2046</v>
      </c>
      <c r="B33" s="269">
        <f>'User Volumes'!L23*$I$50</f>
        <v>327356.4147285762</v>
      </c>
      <c r="C33" s="269">
        <f>'User Volumes'!M23*$I$51</f>
        <v>74118.433523451211</v>
      </c>
      <c r="D33" s="8">
        <f t="shared" si="0"/>
        <v>253237.98120512499</v>
      </c>
      <c r="G33" s="13"/>
      <c r="H33" t="s">
        <v>434</v>
      </c>
      <c r="I33" s="201">
        <f>(I29-$I$45)/I27</f>
        <v>0.21224489795918366</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2047</v>
      </c>
      <c r="B34" s="269">
        <f>'User Volumes'!L24*$I$50</f>
        <v>328011.12755803333</v>
      </c>
      <c r="C34" s="269">
        <f>'User Volumes'!M24*$I$51</f>
        <v>74266.670390498111</v>
      </c>
      <c r="D34" s="8">
        <f t="shared" si="0"/>
        <v>253744.45716753521</v>
      </c>
      <c r="G34" s="13"/>
      <c r="H34" t="s">
        <v>435</v>
      </c>
      <c r="I34" s="200">
        <f>I30*$B$11</f>
        <v>10.427499999999998</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2048</v>
      </c>
      <c r="B35" s="269">
        <f>'User Volumes'!L25*$I$50</f>
        <v>328667.14981314942</v>
      </c>
      <c r="C35" s="269">
        <f>'User Volumes'!M25*$I$51</f>
        <v>74415.203731279107</v>
      </c>
      <c r="D35" s="8">
        <f t="shared" si="0"/>
        <v>254251.94608187029</v>
      </c>
      <c r="G35" s="13"/>
      <c r="H35" t="s">
        <v>436</v>
      </c>
      <c r="I35" s="200">
        <f>I31*$B$11</f>
        <v>9.4228571428571417</v>
      </c>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2049</v>
      </c>
      <c r="B36" s="269">
        <f>'User Volumes'!L26*$I$50</f>
        <v>329324.48411277571</v>
      </c>
      <c r="C36" s="269">
        <f>'User Volumes'!M26*$I$51</f>
        <v>74564.03413874167</v>
      </c>
      <c r="D36" s="8">
        <f t="shared" si="0"/>
        <v>254760.44997403404</v>
      </c>
      <c r="G36" s="13"/>
      <c r="H36" t="s">
        <v>437</v>
      </c>
      <c r="I36" s="200">
        <f t="shared" ref="I36:I37" si="1">I32*$B$11</f>
        <v>6.79</v>
      </c>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2050</v>
      </c>
      <c r="B37" s="269">
        <f>'User Volumes'!L27*$I$50</f>
        <v>329983.13308100129</v>
      </c>
      <c r="C37" s="269">
        <f>'User Volumes'!M27*$I$51</f>
        <v>74713.162207019152</v>
      </c>
      <c r="D37" s="8">
        <f t="shared" si="0"/>
        <v>255269.97087398212</v>
      </c>
      <c r="G37" s="13"/>
      <c r="H37" t="s">
        <v>438</v>
      </c>
      <c r="I37" s="200">
        <f t="shared" si="1"/>
        <v>8.2351020408163258</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2051</v>
      </c>
      <c r="B38" s="269">
        <f>'User Volumes'!L28*$I$50</f>
        <v>330643.09934716328</v>
      </c>
      <c r="C38" s="269">
        <f>'User Volumes'!M28*$I$51</f>
        <v>74862.588531433197</v>
      </c>
      <c r="D38" s="8">
        <f t="shared" si="0"/>
        <v>255780.51081573009</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2052</v>
      </c>
      <c r="B39" s="269">
        <f>'User Volumes'!L29*$I$50</f>
        <v>331304.3855458576</v>
      </c>
      <c r="C39" s="269">
        <f>'User Volumes'!M29*$I$51</f>
        <v>75012.313708496047</v>
      </c>
      <c r="D39" s="8">
        <f t="shared" si="0"/>
        <v>256292.07183736155</v>
      </c>
      <c r="G39" s="13"/>
      <c r="H39" t="s">
        <v>479</v>
      </c>
      <c r="I39" s="267">
        <f>Inputs!E34</f>
        <v>547</v>
      </c>
      <c r="J39" t="s">
        <v>497</v>
      </c>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t="str">
        <f>IF(A39&lt;'Project Information'!B$11,A39+1,"")</f>
        <v/>
      </c>
      <c r="B40" s="22">
        <v>0</v>
      </c>
      <c r="C40" s="22">
        <v>0</v>
      </c>
      <c r="D40" s="8">
        <f t="shared" si="0"/>
        <v>0</v>
      </c>
      <c r="G40" s="13"/>
      <c r="H40" t="s">
        <v>483</v>
      </c>
      <c r="I40" s="268">
        <f>I39*365</f>
        <v>199655</v>
      </c>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t="str">
        <f>IF(A40&lt;'Project Information'!B$11,A40+1,"")</f>
        <v/>
      </c>
      <c r="B41" s="22">
        <v>0</v>
      </c>
      <c r="C41" s="22">
        <v>0</v>
      </c>
      <c r="D41" s="8">
        <f t="shared" si="0"/>
        <v>0</v>
      </c>
      <c r="G41" s="13"/>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t="str">
        <f>IF(A41&lt;'Project Information'!B$11,A41+1,"")</f>
        <v/>
      </c>
      <c r="B42" s="22">
        <v>0</v>
      </c>
      <c r="C42" s="22">
        <v>0</v>
      </c>
      <c r="D42" s="8">
        <f t="shared" si="0"/>
        <v>0</v>
      </c>
      <c r="G42" s="13"/>
      <c r="H42" t="s">
        <v>480</v>
      </c>
      <c r="I42">
        <v>35</v>
      </c>
      <c r="J42" t="s">
        <v>420</v>
      </c>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t="str">
        <f>IF(A42&lt;'Project Information'!B$11,A42+1,"")</f>
        <v/>
      </c>
      <c r="B43" s="22">
        <v>0</v>
      </c>
      <c r="C43" s="22">
        <v>0</v>
      </c>
      <c r="D43" s="8">
        <f t="shared" si="0"/>
        <v>0</v>
      </c>
      <c r="G43" s="13"/>
      <c r="H43" s="5" t="s">
        <v>485</v>
      </c>
      <c r="I43" s="5">
        <v>0.9</v>
      </c>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A44" s="1" t="str">
        <f>IF(A43&lt;'Project Information'!B$11,A43+1,"")</f>
        <v/>
      </c>
      <c r="B44" s="22">
        <v>0</v>
      </c>
      <c r="C44" s="22">
        <v>0</v>
      </c>
      <c r="D44" s="8">
        <f t="shared" si="0"/>
        <v>0</v>
      </c>
      <c r="G44" s="13"/>
      <c r="H44" s="5" t="s">
        <v>486</v>
      </c>
      <c r="I44" s="5">
        <v>0.6</v>
      </c>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A45" s="1" t="str">
        <f>IF(A44&lt;'Project Information'!B$11,A44+1,"")</f>
        <v/>
      </c>
      <c r="B45" s="22">
        <v>0</v>
      </c>
      <c r="C45" s="22">
        <v>0</v>
      </c>
      <c r="D45" s="8">
        <f t="shared" si="0"/>
        <v>0</v>
      </c>
      <c r="G45" s="13"/>
      <c r="H45" t="s">
        <v>428</v>
      </c>
      <c r="I45" s="193">
        <v>0.3</v>
      </c>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t="s">
        <v>482</v>
      </c>
      <c r="I46" s="200">
        <f>B10</f>
        <v>21.1</v>
      </c>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t="s">
        <v>484</v>
      </c>
      <c r="I47" s="5">
        <f>Inputs!D33/60</f>
        <v>0.05</v>
      </c>
      <c r="J47" t="s">
        <v>420</v>
      </c>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t="s">
        <v>487</v>
      </c>
      <c r="I48" s="201">
        <f>I43/$I$42+I47</f>
        <v>7.571428571428572E-2</v>
      </c>
      <c r="J48" t="s">
        <v>421</v>
      </c>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9">
        <f t="shared" si="0"/>
        <v>0</v>
      </c>
      <c r="G49" s="13"/>
      <c r="H49" t="s">
        <v>488</v>
      </c>
      <c r="I49" s="201">
        <f>I44/$I$42</f>
        <v>1.7142857142857144E-2</v>
      </c>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1"/>
      <c r="B50" s="270"/>
      <c r="C50" s="270"/>
      <c r="D50" s="7"/>
      <c r="G50" s="13"/>
      <c r="H50" s="5" t="s">
        <v>490</v>
      </c>
      <c r="I50" s="272">
        <f>I48*$B$10</f>
        <v>1.5975714285714289</v>
      </c>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A51" s="31"/>
      <c r="B51" s="32"/>
      <c r="C51" s="32"/>
      <c r="D51" s="29"/>
      <c r="G51" s="13"/>
      <c r="H51" s="5" t="s">
        <v>491</v>
      </c>
      <c r="I51" s="272">
        <f>I49*$B$10</f>
        <v>0.36171428571428577</v>
      </c>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3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ht="15" thickBot="1" x14ac:dyDescent="0.4">
      <c r="G110" s="15"/>
      <c r="H110" s="16"/>
      <c r="I110" s="16"/>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7"/>
    </row>
  </sheetData>
  <conditionalFormatting sqref="C20:C39 B20:B50">
    <cfRule type="expression" dxfId="14" priority="4">
      <formula>A20=""</formula>
    </cfRule>
  </conditionalFormatting>
  <conditionalFormatting sqref="C21:C50">
    <cfRule type="expression" dxfId="13" priority="3">
      <formula>A21=""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topLeftCell="A20" workbookViewId="0"/>
  </sheetViews>
  <sheetFormatPr defaultColWidth="9.1796875" defaultRowHeight="14.5" x14ac:dyDescent="0.35"/>
  <cols>
    <col min="1" max="1" width="28.54296875" style="5" customWidth="1"/>
    <col min="2" max="2" width="35.1796875" style="5" customWidth="1"/>
    <col min="3" max="3" width="30.7265625" style="5" customWidth="1"/>
    <col min="4" max="4" width="29.1796875" style="5" customWidth="1"/>
    <col min="5" max="16384" width="9.1796875" style="5"/>
  </cols>
  <sheetData>
    <row r="1" spans="1:9" ht="20" thickBot="1" x14ac:dyDescent="0.5">
      <c r="A1" s="96" t="s">
        <v>222</v>
      </c>
    </row>
    <row r="2" spans="1:9" ht="15" thickTop="1" x14ac:dyDescent="0.35">
      <c r="A2" s="152" t="s">
        <v>244</v>
      </c>
      <c r="B2" s="152"/>
      <c r="C2" s="152"/>
      <c r="D2" s="152"/>
      <c r="E2" s="152"/>
      <c r="F2" s="152"/>
    </row>
    <row r="3" spans="1:9" x14ac:dyDescent="0.35">
      <c r="A3" s="5" t="s">
        <v>204</v>
      </c>
    </row>
    <row r="4" spans="1:9" x14ac:dyDescent="0.35">
      <c r="A4" s="153" t="s">
        <v>356</v>
      </c>
      <c r="B4" s="152"/>
      <c r="C4" s="152"/>
      <c r="D4" s="152"/>
      <c r="E4" s="152"/>
      <c r="F4" s="152"/>
      <c r="G4" s="152"/>
      <c r="H4" s="152"/>
      <c r="I4" s="152"/>
    </row>
    <row r="5" spans="1:9" x14ac:dyDescent="0.35">
      <c r="A5" s="38" t="s">
        <v>204</v>
      </c>
    </row>
    <row r="6" spans="1:9" x14ac:dyDescent="0.35">
      <c r="A6" s="97" t="s">
        <v>245</v>
      </c>
    </row>
    <row r="7" spans="1:9" x14ac:dyDescent="0.35">
      <c r="A7" s="116" t="s">
        <v>48</v>
      </c>
      <c r="B7" s="116" t="s">
        <v>342</v>
      </c>
    </row>
    <row r="8" spans="1:9" x14ac:dyDescent="0.35">
      <c r="A8" s="35" t="s">
        <v>194</v>
      </c>
      <c r="B8" s="42">
        <f>'Parameter Values'!B53</f>
        <v>0.56000000000000005</v>
      </c>
    </row>
    <row r="9" spans="1:9" x14ac:dyDescent="0.35">
      <c r="A9" s="35" t="s">
        <v>195</v>
      </c>
      <c r="B9" s="42">
        <f>'Parameter Values'!B54</f>
        <v>1.27</v>
      </c>
    </row>
    <row r="10" spans="1:9" x14ac:dyDescent="0.35">
      <c r="A10" s="116" t="s">
        <v>272</v>
      </c>
      <c r="B10" s="116" t="s">
        <v>343</v>
      </c>
    </row>
    <row r="11" spans="1:9" x14ac:dyDescent="0.35">
      <c r="A11" s="131" t="s">
        <v>273</v>
      </c>
      <c r="B11" s="132" t="s">
        <v>281</v>
      </c>
    </row>
    <row r="12" spans="1:9" x14ac:dyDescent="0.35">
      <c r="A12" s="35" t="s">
        <v>274</v>
      </c>
      <c r="B12" s="133">
        <f>'Parameter Values'!B63</f>
        <v>262</v>
      </c>
    </row>
    <row r="13" spans="1:9" x14ac:dyDescent="0.35">
      <c r="A13" s="35" t="s">
        <v>275</v>
      </c>
      <c r="B13" s="133">
        <f>'Parameter Values'!B64</f>
        <v>282</v>
      </c>
    </row>
    <row r="14" spans="1:9" x14ac:dyDescent="0.35">
      <c r="A14" s="35" t="s">
        <v>276</v>
      </c>
      <c r="B14" s="133">
        <f>'Parameter Values'!B65</f>
        <v>718</v>
      </c>
    </row>
    <row r="15" spans="1:9" x14ac:dyDescent="0.35">
      <c r="A15" s="35" t="s">
        <v>277</v>
      </c>
      <c r="B15" s="133">
        <f>'Parameter Values'!B66</f>
        <v>323</v>
      </c>
    </row>
    <row r="16" spans="1:9" x14ac:dyDescent="0.35">
      <c r="A16" s="131" t="s">
        <v>278</v>
      </c>
      <c r="B16" s="132" t="s">
        <v>281</v>
      </c>
    </row>
    <row r="17" spans="1:54" x14ac:dyDescent="0.35">
      <c r="A17" s="35" t="s">
        <v>274</v>
      </c>
      <c r="B17" s="133">
        <f>'Parameter Values'!B68</f>
        <v>706</v>
      </c>
    </row>
    <row r="18" spans="1:54" x14ac:dyDescent="0.35">
      <c r="A18" s="35" t="s">
        <v>275</v>
      </c>
      <c r="B18" s="133">
        <f>'Parameter Values'!B69</f>
        <v>687</v>
      </c>
    </row>
    <row r="19" spans="1:54" x14ac:dyDescent="0.35">
      <c r="A19" s="35" t="s">
        <v>276</v>
      </c>
      <c r="B19" s="133">
        <f>'Parameter Values'!B70</f>
        <v>1123</v>
      </c>
    </row>
    <row r="20" spans="1:54" x14ac:dyDescent="0.35">
      <c r="A20" s="35" t="s">
        <v>277</v>
      </c>
      <c r="B20" s="133">
        <f>'Parameter Values'!B71</f>
        <v>728</v>
      </c>
    </row>
    <row r="21" spans="1:54" x14ac:dyDescent="0.35">
      <c r="A21" s="131" t="s">
        <v>279</v>
      </c>
      <c r="B21" s="132" t="s">
        <v>281</v>
      </c>
    </row>
    <row r="22" spans="1:54" x14ac:dyDescent="0.35">
      <c r="A22" s="35" t="s">
        <v>280</v>
      </c>
      <c r="B22" s="42">
        <f>'Parameter Values'!B73</f>
        <v>1.07</v>
      </c>
    </row>
    <row r="23" spans="1:54" x14ac:dyDescent="0.35">
      <c r="A23" s="38" t="s">
        <v>204</v>
      </c>
      <c r="B23" s="38"/>
    </row>
    <row r="24" spans="1:54" ht="15" thickBot="1" x14ac:dyDescent="0.4">
      <c r="A24" s="97" t="s">
        <v>248</v>
      </c>
    </row>
    <row r="25" spans="1:54" x14ac:dyDescent="0.35">
      <c r="A25" s="107" t="s">
        <v>4</v>
      </c>
      <c r="B25" s="108" t="s">
        <v>177</v>
      </c>
      <c r="C25" s="108" t="s">
        <v>178</v>
      </c>
      <c r="D25" s="114" t="s">
        <v>10</v>
      </c>
      <c r="G25" s="10" t="s">
        <v>161</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35">
      <c r="A26" s="6">
        <f>'Project Information'!$B$9</f>
        <v>2033</v>
      </c>
      <c r="B26" s="22">
        <f>('User Volumes'!L10*(Inputs!D$35))*$B$8</f>
        <v>100626.12000000001</v>
      </c>
      <c r="C26" s="22">
        <f>('User Volumes'!M10*(Inputs!E$35))*$B$8</f>
        <v>67084.08</v>
      </c>
      <c r="D26" s="26">
        <f>B26-C26</f>
        <v>33542.040000000008</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2034</v>
      </c>
      <c r="B27" s="22">
        <f>('User Volumes'!L11*(Inputs!D$35))*$B$8</f>
        <v>100827.37224000001</v>
      </c>
      <c r="C27" s="22">
        <f>('User Volumes'!M11*(Inputs!E$35))*$B$8</f>
        <v>67218.248160000003</v>
      </c>
      <c r="D27" s="8">
        <f t="shared" ref="D27:D55" si="0">B27-C27</f>
        <v>33609.124080000009</v>
      </c>
      <c r="G27" s="13"/>
      <c r="H27" s="218" t="str">
        <f>IF(D26=0,"No savings assumed as vehicle volume unchanged by project","Function of vehicle volume and mileage. See Inputs tab for detail")</f>
        <v>Function of vehicle volume and mileage. See Inputs tab for detail</v>
      </c>
      <c r="I27" s="219"/>
      <c r="J27" s="219"/>
      <c r="K27" s="219"/>
      <c r="L27" s="219"/>
      <c r="M27" s="219"/>
      <c r="N27" s="219"/>
      <c r="O27" s="219"/>
      <c r="P27" s="219"/>
      <c r="Q27" s="219"/>
      <c r="R27" s="219"/>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2035</v>
      </c>
      <c r="B28" s="22">
        <f>('User Volumes'!L12*(Inputs!D$35))*$B$8</f>
        <v>101029.02698448001</v>
      </c>
      <c r="C28" s="22">
        <f>('User Volumes'!M12*(Inputs!E$35))*$B$8</f>
        <v>67352.684656320009</v>
      </c>
      <c r="D28" s="8">
        <f t="shared" si="0"/>
        <v>33676.342328159997</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2036</v>
      </c>
      <c r="B29" s="22">
        <f>('User Volumes'!L13*(Inputs!D$35))*$B$8</f>
        <v>101231.08503844899</v>
      </c>
      <c r="C29" s="22">
        <f>('User Volumes'!M13*(Inputs!E$35))*$B$8</f>
        <v>67487.390025632645</v>
      </c>
      <c r="D29" s="8">
        <f t="shared" si="0"/>
        <v>33743.695012816344</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2037</v>
      </c>
      <c r="B30" s="22">
        <f>('User Volumes'!L14*(Inputs!D$35))*$B$8</f>
        <v>101433.54720852588</v>
      </c>
      <c r="C30" s="22">
        <f>('User Volumes'!M14*(Inputs!E$35))*$B$8</f>
        <v>67622.364805683916</v>
      </c>
      <c r="D30" s="8">
        <f t="shared" si="0"/>
        <v>33811.182402841965</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2038</v>
      </c>
      <c r="B31" s="22">
        <f>('User Volumes'!L15*(Inputs!D$35))*$B$8</f>
        <v>101636.41430294291</v>
      </c>
      <c r="C31" s="22">
        <f>('User Volumes'!M15*(Inputs!E$35))*$B$8</f>
        <v>67757.609535295269</v>
      </c>
      <c r="D31" s="8">
        <f t="shared" si="0"/>
        <v>33878.804767647642</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2039</v>
      </c>
      <c r="B32" s="22">
        <f>('User Volumes'!L16*(Inputs!D$35))*$B$8</f>
        <v>101839.6871315488</v>
      </c>
      <c r="C32" s="22">
        <f>('User Volumes'!M16*(Inputs!E$35))*$B$8</f>
        <v>67893.124754365854</v>
      </c>
      <c r="D32" s="8">
        <f t="shared" si="0"/>
        <v>33946.562377182941</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2040</v>
      </c>
      <c r="B33" s="22">
        <f>('User Volumes'!L17*(Inputs!D$35))*$B$8</f>
        <v>102043.36650581189</v>
      </c>
      <c r="C33" s="22">
        <f>('User Volumes'!M17*(Inputs!E$35))*$B$8</f>
        <v>68028.9110038746</v>
      </c>
      <c r="D33" s="8">
        <f t="shared" si="0"/>
        <v>34014.455501937293</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2041</v>
      </c>
      <c r="B34" s="22">
        <f>('User Volumes'!L18*(Inputs!D$35))*$B$8</f>
        <v>102247.45323882352</v>
      </c>
      <c r="C34" s="22">
        <f>('User Volumes'!M18*(Inputs!E$35))*$B$8</f>
        <v>68164.968825882344</v>
      </c>
      <c r="D34" s="8">
        <f t="shared" si="0"/>
        <v>34082.484412941179</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2042</v>
      </c>
      <c r="B35" s="22">
        <f>('User Volumes'!L19*(Inputs!D$35))*$B$8</f>
        <v>102451.94814530117</v>
      </c>
      <c r="C35" s="22">
        <f>('User Volumes'!M19*(Inputs!E$35))*$B$8</f>
        <v>68301.298763534112</v>
      </c>
      <c r="D35" s="8">
        <f t="shared" si="0"/>
        <v>34150.649381767056</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2043</v>
      </c>
      <c r="B36" s="22">
        <f>('User Volumes'!L20*(Inputs!D$35))*$B$8</f>
        <v>102656.85204159179</v>
      </c>
      <c r="C36" s="22">
        <f>('User Volumes'!M20*(Inputs!E$35))*$B$8</f>
        <v>68437.901361061173</v>
      </c>
      <c r="D36" s="8">
        <f t="shared" si="0"/>
        <v>34218.950680530616</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2044</v>
      </c>
      <c r="B37" s="22">
        <f>('User Volumes'!L21*(Inputs!D$35))*$B$8</f>
        <v>102862.16574567495</v>
      </c>
      <c r="C37" s="22">
        <f>('User Volumes'!M21*(Inputs!E$35))*$B$8</f>
        <v>68574.777163783307</v>
      </c>
      <c r="D37" s="8">
        <f t="shared" si="0"/>
        <v>34287.388581891646</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2045</v>
      </c>
      <c r="B38" s="22">
        <f>('User Volumes'!L22*(Inputs!D$35))*$B$8</f>
        <v>103067.89007716632</v>
      </c>
      <c r="C38" s="22">
        <f>('User Volumes'!M22*(Inputs!E$35))*$B$8</f>
        <v>68711.926718110873</v>
      </c>
      <c r="D38" s="8">
        <f t="shared" si="0"/>
        <v>34355.963359055444</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2046</v>
      </c>
      <c r="B39" s="22">
        <f>('User Volumes'!L23*(Inputs!D$35))*$B$8</f>
        <v>103274.02585732065</v>
      </c>
      <c r="C39" s="22">
        <f>('User Volumes'!M23*(Inputs!E$35))*$B$8</f>
        <v>68849.350571547096</v>
      </c>
      <c r="D39" s="8">
        <f t="shared" si="0"/>
        <v>34424.675285773556</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f>IF(A39&lt;'Project Information'!B$11,A39+1,"")</f>
        <v>2047</v>
      </c>
      <c r="B40" s="22">
        <f>('User Volumes'!L24*(Inputs!D$35))*$B$8</f>
        <v>103480.57390903529</v>
      </c>
      <c r="C40" s="22">
        <f>('User Volumes'!M24*(Inputs!E$35))*$B$8</f>
        <v>68987.049272690187</v>
      </c>
      <c r="D40" s="8">
        <f t="shared" si="0"/>
        <v>34493.524636345101</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f>IF(A40&lt;'Project Information'!B$11,A40+1,"")</f>
        <v>2048</v>
      </c>
      <c r="B41" s="22">
        <f>('User Volumes'!L25*(Inputs!D$35))*$B$8</f>
        <v>103687.53505685335</v>
      </c>
      <c r="C41" s="22">
        <f>('User Volumes'!M25*(Inputs!E$35))*$B$8</f>
        <v>69125.023371235569</v>
      </c>
      <c r="D41" s="8">
        <f t="shared" si="0"/>
        <v>34562.511685617777</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f>IF(A41&lt;'Project Information'!B$11,A41+1,"")</f>
        <v>2049</v>
      </c>
      <c r="B42" s="22">
        <f>('User Volumes'!L26*(Inputs!D$35))*$B$8</f>
        <v>103894.91012696706</v>
      </c>
      <c r="C42" s="22">
        <f>('User Volumes'!M26*(Inputs!E$35))*$B$8</f>
        <v>69263.273417978024</v>
      </c>
      <c r="D42" s="8">
        <f t="shared" si="0"/>
        <v>34631.636708989041</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f>IF(A42&lt;'Project Information'!B$11,A42+1,"")</f>
        <v>2050</v>
      </c>
      <c r="B43" s="22">
        <f>('User Volumes'!L27*(Inputs!D$35))*$B$8</f>
        <v>104102.699947221</v>
      </c>
      <c r="C43" s="22">
        <f>('User Volumes'!M27*(Inputs!E$35))*$B$8</f>
        <v>69401.799964813981</v>
      </c>
      <c r="D43" s="8">
        <f t="shared" si="0"/>
        <v>34700.89998240702</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A44" s="1">
        <f>IF(A43&lt;'Project Information'!B$11,A43+1,"")</f>
        <v>2051</v>
      </c>
      <c r="B44" s="22">
        <f>('User Volumes'!L28*(Inputs!D$35))*$B$8</f>
        <v>104310.90534711543</v>
      </c>
      <c r="C44" s="22">
        <f>('User Volumes'!M28*(Inputs!E$35))*$B$8</f>
        <v>69540.603564743622</v>
      </c>
      <c r="D44" s="8">
        <f t="shared" si="0"/>
        <v>34770.301782371811</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A45" s="1">
        <f>IF(A44&lt;'Project Information'!B$11,A44+1,"")</f>
        <v>2052</v>
      </c>
      <c r="B45" s="22">
        <f>('User Volumes'!L29*(Inputs!D$35))*$B$8</f>
        <v>104519.52715780966</v>
      </c>
      <c r="C45" s="22">
        <f>('User Volumes'!M29*(Inputs!E$35))*$B$8</f>
        <v>69679.684771873101</v>
      </c>
      <c r="D45" s="8">
        <f t="shared" si="0"/>
        <v>34839.842385936558</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3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3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3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3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3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3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3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 thickBot="1" x14ac:dyDescent="0.4">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C45 B46:B55">
    <cfRule type="expression" dxfId="12" priority="2">
      <formula>A26=""</formula>
    </cfRule>
  </conditionalFormatting>
  <conditionalFormatting sqref="C46:C55">
    <cfRule type="expression" dxfId="11" priority="1">
      <formula>A46=""</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topLeftCell="A6" workbookViewId="0">
      <selection activeCell="B20" sqref="B20"/>
    </sheetView>
  </sheetViews>
  <sheetFormatPr defaultColWidth="9.1796875" defaultRowHeight="14.5" x14ac:dyDescent="0.35"/>
  <cols>
    <col min="1" max="1" width="39" style="5" customWidth="1"/>
    <col min="2" max="2" width="35.453125" style="5" customWidth="1"/>
    <col min="3" max="3" width="35.54296875" style="5" customWidth="1"/>
    <col min="4" max="4" width="30.1796875" style="5" customWidth="1"/>
    <col min="5" max="5" width="26.81640625" style="5" customWidth="1"/>
    <col min="6" max="6" width="7.453125" style="5" customWidth="1"/>
    <col min="7" max="14" width="20.54296875" style="5" customWidth="1"/>
    <col min="15" max="18" width="15.7265625" style="5" customWidth="1"/>
    <col min="19" max="19" width="28.54296875" style="5" customWidth="1"/>
    <col min="20" max="20" width="24.81640625" style="5" customWidth="1"/>
    <col min="21" max="16384" width="9.1796875" style="5"/>
  </cols>
  <sheetData>
    <row r="1" spans="1:9" ht="20" thickBot="1" x14ac:dyDescent="0.5">
      <c r="A1" s="96" t="s">
        <v>223</v>
      </c>
      <c r="B1" s="134"/>
      <c r="C1" s="134"/>
      <c r="D1" s="134"/>
      <c r="E1" s="134"/>
      <c r="F1" s="134"/>
    </row>
    <row r="2" spans="1:9" ht="15" thickTop="1" x14ac:dyDescent="0.35">
      <c r="A2" s="154" t="s">
        <v>358</v>
      </c>
      <c r="B2" s="155"/>
      <c r="C2" s="155"/>
      <c r="D2" s="155"/>
      <c r="E2" s="155"/>
      <c r="F2" s="155"/>
      <c r="G2" s="155"/>
      <c r="H2" s="155"/>
      <c r="I2" s="155"/>
    </row>
    <row r="3" spans="1:9" x14ac:dyDescent="0.35">
      <c r="A3" s="154" t="s">
        <v>319</v>
      </c>
      <c r="B3" s="155"/>
      <c r="C3" s="155"/>
      <c r="D3" s="155"/>
    </row>
    <row r="4" spans="1:9" x14ac:dyDescent="0.35">
      <c r="A4" s="154" t="s">
        <v>320</v>
      </c>
      <c r="B4" s="155"/>
      <c r="C4" s="155"/>
    </row>
    <row r="5" spans="1:9" x14ac:dyDescent="0.35">
      <c r="A5" s="154" t="s">
        <v>310</v>
      </c>
      <c r="B5" s="155"/>
      <c r="C5" s="155"/>
      <c r="D5" s="155"/>
      <c r="E5" s="155"/>
    </row>
    <row r="6" spans="1:9" x14ac:dyDescent="0.35">
      <c r="A6" s="5" t="s">
        <v>204</v>
      </c>
    </row>
    <row r="7" spans="1:9" x14ac:dyDescent="0.35">
      <c r="A7" s="97" t="s">
        <v>297</v>
      </c>
    </row>
    <row r="8" spans="1:9" x14ac:dyDescent="0.35">
      <c r="A8" s="116" t="s">
        <v>144</v>
      </c>
      <c r="B8" s="116" t="s">
        <v>342</v>
      </c>
      <c r="C8" s="116" t="s">
        <v>342</v>
      </c>
    </row>
    <row r="9" spans="1:9" ht="16.5" x14ac:dyDescent="0.35">
      <c r="A9" s="140"/>
      <c r="B9" s="132" t="s">
        <v>295</v>
      </c>
      <c r="C9" s="132" t="s">
        <v>296</v>
      </c>
    </row>
    <row r="10" spans="1:9" x14ac:dyDescent="0.35">
      <c r="A10" s="35" t="s">
        <v>148</v>
      </c>
      <c r="B10" s="176" t="s">
        <v>102</v>
      </c>
      <c r="C10" s="141">
        <f>'Parameter Values'!F231</f>
        <v>0.11</v>
      </c>
    </row>
    <row r="11" spans="1:9" x14ac:dyDescent="0.35">
      <c r="A11" s="35" t="s">
        <v>149</v>
      </c>
      <c r="B11" s="176" t="s">
        <v>102</v>
      </c>
      <c r="C11" s="141">
        <f>'Parameter Values'!F232</f>
        <v>0.113</v>
      </c>
    </row>
    <row r="12" spans="1:9" x14ac:dyDescent="0.35">
      <c r="A12" s="35" t="s">
        <v>150</v>
      </c>
      <c r="B12" s="141">
        <f>'Parameter Values'!E233</f>
        <v>1.2999999999999999E-2</v>
      </c>
      <c r="C12" s="141">
        <f>'Parameter Values'!F233</f>
        <v>0.111</v>
      </c>
    </row>
    <row r="13" spans="1:9" x14ac:dyDescent="0.35">
      <c r="A13" s="35" t="s">
        <v>151</v>
      </c>
      <c r="B13" s="176" t="s">
        <v>102</v>
      </c>
      <c r="C13" s="141">
        <f>'Parameter Values'!F234</f>
        <v>0.314</v>
      </c>
    </row>
    <row r="14" spans="1:9" x14ac:dyDescent="0.35">
      <c r="A14" s="35" t="s">
        <v>152</v>
      </c>
      <c r="B14" s="176" t="s">
        <v>102</v>
      </c>
      <c r="C14" s="141">
        <f>'Parameter Values'!F235</f>
        <v>0.31</v>
      </c>
    </row>
    <row r="15" spans="1:9" x14ac:dyDescent="0.35">
      <c r="A15" s="35" t="s">
        <v>153</v>
      </c>
      <c r="B15" s="141">
        <f>'Parameter Values'!E236</f>
        <v>3.6999999999999998E-2</v>
      </c>
      <c r="C15" s="141">
        <f>'Parameter Values'!F236</f>
        <v>0.312</v>
      </c>
    </row>
    <row r="16" spans="1:9" x14ac:dyDescent="0.35">
      <c r="A16" s="35" t="s">
        <v>154</v>
      </c>
      <c r="B16" s="176" t="s">
        <v>102</v>
      </c>
      <c r="C16" s="141">
        <f>'Parameter Values'!F237</f>
        <v>0.128</v>
      </c>
    </row>
    <row r="17" spans="1:74" x14ac:dyDescent="0.35">
      <c r="A17" s="35" t="s">
        <v>155</v>
      </c>
      <c r="B17" s="176" t="s">
        <v>102</v>
      </c>
      <c r="C17" s="141">
        <f>'Parameter Values'!F238</f>
        <v>0.14499999999999999</v>
      </c>
    </row>
    <row r="18" spans="1:74" x14ac:dyDescent="0.35">
      <c r="A18" s="35" t="s">
        <v>156</v>
      </c>
      <c r="B18" s="141">
        <f>'Parameter Values'!E239</f>
        <v>1.4999999999999999E-2</v>
      </c>
      <c r="C18" s="141">
        <f>'Parameter Values'!F239</f>
        <v>0.13300000000000001</v>
      </c>
    </row>
    <row r="19" spans="1:74" x14ac:dyDescent="0.35">
      <c r="A19" s="116" t="s">
        <v>272</v>
      </c>
      <c r="B19" s="116" t="s">
        <v>343</v>
      </c>
      <c r="C19" s="116" t="s">
        <v>343</v>
      </c>
    </row>
    <row r="20" spans="1:74" ht="16.5" x14ac:dyDescent="0.35">
      <c r="A20" s="131" t="s">
        <v>273</v>
      </c>
      <c r="B20" s="132" t="s">
        <v>295</v>
      </c>
      <c r="C20" s="132" t="s">
        <v>296</v>
      </c>
    </row>
    <row r="21" spans="1:74" x14ac:dyDescent="0.35">
      <c r="A21" s="35" t="s">
        <v>274</v>
      </c>
      <c r="B21" s="133">
        <f>'Parameter Values'!C63</f>
        <v>776</v>
      </c>
      <c r="C21" s="133">
        <f>'Parameter Values'!D63</f>
        <v>29</v>
      </c>
    </row>
    <row r="22" spans="1:74" x14ac:dyDescent="0.35">
      <c r="A22" s="35" t="s">
        <v>275</v>
      </c>
      <c r="B22" s="133">
        <f>'Parameter Values'!C64</f>
        <v>106</v>
      </c>
      <c r="C22" s="133">
        <f>'Parameter Values'!D64</f>
        <v>27</v>
      </c>
    </row>
    <row r="23" spans="1:74" x14ac:dyDescent="0.35">
      <c r="A23" s="35" t="s">
        <v>276</v>
      </c>
      <c r="B23" s="133">
        <f>'Parameter Values'!C65</f>
        <v>106</v>
      </c>
      <c r="C23" s="133">
        <f>'Parameter Values'!D65</f>
        <v>27</v>
      </c>
    </row>
    <row r="24" spans="1:74" x14ac:dyDescent="0.35">
      <c r="A24" s="35" t="s">
        <v>277</v>
      </c>
      <c r="B24" s="133">
        <f>'Parameter Values'!C66</f>
        <v>106</v>
      </c>
      <c r="C24" s="133">
        <f>'Parameter Values'!D66</f>
        <v>27</v>
      </c>
    </row>
    <row r="25" spans="1:74" ht="16.5" x14ac:dyDescent="0.35">
      <c r="A25" s="131" t="s">
        <v>278</v>
      </c>
      <c r="B25" s="132" t="s">
        <v>295</v>
      </c>
      <c r="C25" s="132" t="s">
        <v>296</v>
      </c>
    </row>
    <row r="26" spans="1:74" x14ac:dyDescent="0.35">
      <c r="A26" s="35" t="s">
        <v>274</v>
      </c>
      <c r="B26" s="133">
        <f>'Parameter Values'!C68</f>
        <v>2284</v>
      </c>
      <c r="C26" s="133">
        <f>'Parameter Values'!D68</f>
        <v>290</v>
      </c>
    </row>
    <row r="27" spans="1:74" x14ac:dyDescent="0.35">
      <c r="A27" s="35" t="s">
        <v>275</v>
      </c>
      <c r="B27" s="133">
        <f>'Parameter Values'!C69</f>
        <v>755</v>
      </c>
      <c r="C27" s="133">
        <f>'Parameter Values'!D69</f>
        <v>226</v>
      </c>
    </row>
    <row r="28" spans="1:74" x14ac:dyDescent="0.35">
      <c r="A28" s="35" t="s">
        <v>276</v>
      </c>
      <c r="B28" s="133">
        <f>'Parameter Values'!C70</f>
        <v>755</v>
      </c>
      <c r="C28" s="133">
        <f>'Parameter Values'!D70</f>
        <v>226</v>
      </c>
    </row>
    <row r="29" spans="1:74" x14ac:dyDescent="0.35">
      <c r="A29" s="35" t="s">
        <v>277</v>
      </c>
      <c r="B29" s="133">
        <f>'Parameter Values'!C71</f>
        <v>755</v>
      </c>
      <c r="C29" s="133">
        <f>'Parameter Values'!D71</f>
        <v>226</v>
      </c>
    </row>
    <row r="30" spans="1:74" x14ac:dyDescent="0.35">
      <c r="A30" s="5" t="s">
        <v>204</v>
      </c>
    </row>
    <row r="31" spans="1:74" ht="15" thickBot="1" x14ac:dyDescent="0.4">
      <c r="A31" s="97" t="s">
        <v>294</v>
      </c>
      <c r="B31" s="135"/>
      <c r="C31" s="135"/>
      <c r="D31" s="135"/>
      <c r="E31" s="135"/>
      <c r="F31" s="135"/>
    </row>
    <row r="32" spans="1:74" ht="16.5" x14ac:dyDescent="0.45">
      <c r="A32" s="107" t="s">
        <v>4</v>
      </c>
      <c r="B32" s="110" t="s">
        <v>290</v>
      </c>
      <c r="C32" s="110" t="s">
        <v>291</v>
      </c>
      <c r="D32" s="110" t="s">
        <v>292</v>
      </c>
      <c r="E32" s="110" t="s">
        <v>293</v>
      </c>
      <c r="F32" s="110"/>
      <c r="G32" s="110" t="s">
        <v>224</v>
      </c>
      <c r="H32" s="108" t="s">
        <v>225</v>
      </c>
      <c r="I32" s="110" t="s">
        <v>226</v>
      </c>
      <c r="J32" s="108" t="s">
        <v>227</v>
      </c>
      <c r="K32" s="110" t="s">
        <v>228</v>
      </c>
      <c r="L32" s="108" t="s">
        <v>229</v>
      </c>
      <c r="M32" s="110" t="s">
        <v>230</v>
      </c>
      <c r="N32" s="108" t="s">
        <v>231</v>
      </c>
      <c r="O32" s="111" t="s">
        <v>232</v>
      </c>
      <c r="P32" s="112" t="s">
        <v>233</v>
      </c>
      <c r="Q32" s="112" t="s">
        <v>234</v>
      </c>
      <c r="R32" s="112" t="s">
        <v>235</v>
      </c>
      <c r="S32" s="113" t="s">
        <v>236</v>
      </c>
      <c r="T32" s="108" t="s">
        <v>237</v>
      </c>
      <c r="AA32" s="10" t="s">
        <v>161</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35">
      <c r="A33" s="6">
        <f>'Project Information'!$B$9</f>
        <v>2033</v>
      </c>
      <c r="B33" s="136">
        <f>('User Volumes'!L10*(Inputs!D$35))*$B$18</f>
        <v>2695.3424999999997</v>
      </c>
      <c r="C33" s="136">
        <f>('User Volumes'!M10*(Inputs!E$35))*$B$18</f>
        <v>1796.895</v>
      </c>
      <c r="D33" s="136">
        <f>('User Volumes'!L10*(Inputs!D$35))*$C$18</f>
        <v>23898.7035</v>
      </c>
      <c r="E33" s="136">
        <f>('User Volumes'!M10*(Inputs!E$35))*$C$18</f>
        <v>15932.469000000001</v>
      </c>
      <c r="F33" s="6"/>
      <c r="G33" s="27">
        <v>0</v>
      </c>
      <c r="H33" s="27">
        <v>0</v>
      </c>
      <c r="I33" s="27">
        <v>0</v>
      </c>
      <c r="J33" s="27">
        <v>0</v>
      </c>
      <c r="K33" s="27">
        <v>0</v>
      </c>
      <c r="L33" s="27">
        <v>0</v>
      </c>
      <c r="M33" s="27">
        <v>0</v>
      </c>
      <c r="N33" s="27">
        <v>0</v>
      </c>
      <c r="O33" s="19">
        <f>IFERROR(VLOOKUP($A33,'Parameter Values'!$A$78:$E$107,2,FALSE),'Parameter Values'!B$107)</f>
        <v>22900</v>
      </c>
      <c r="P33" s="19">
        <f>IFERROR(VLOOKUP($A33,'Parameter Values'!$A$78:$E$107,3,FALSE),'Parameter Values'!C$107)</f>
        <v>63700</v>
      </c>
      <c r="Q33" s="19">
        <f>IFERROR(VLOOKUP($A33,'Parameter Values'!$A$78:$E$107,4,FALSE),'Parameter Values'!D$107)</f>
        <v>1108000</v>
      </c>
      <c r="R33" s="19">
        <f>IFERROR(VLOOKUP($A33,'Parameter Values'!$A$78:$E$107,5,FALSE),'Parameter Values'!E$107)</f>
        <v>280</v>
      </c>
      <c r="S33" s="19">
        <f>(B33-C33)+((G33-H33)*O33)+((I33-J33)*P33)+((K33-L33)*Q33)</f>
        <v>898.44749999999976</v>
      </c>
      <c r="T33" s="18">
        <f>(D33-E33)+((M33-N33)*R33)</f>
        <v>7966.2344999999987</v>
      </c>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35">
      <c r="A34" s="1">
        <f>IF(A33&lt;'Project Information'!B$11,A33+1,"")</f>
        <v>2034</v>
      </c>
      <c r="B34" s="136">
        <f>('User Volumes'!L11*(Inputs!D$35))*$B$18</f>
        <v>2700.733185</v>
      </c>
      <c r="C34" s="136">
        <f>('User Volumes'!M11*(Inputs!E$35))*$B$18</f>
        <v>1800.4887899999999</v>
      </c>
      <c r="D34" s="136">
        <f>('User Volumes'!L11*(Inputs!D$35))*$C$18</f>
        <v>23946.500907000005</v>
      </c>
      <c r="E34" s="136">
        <f>('User Volumes'!M11*(Inputs!E$35))*$C$18</f>
        <v>15964.333938</v>
      </c>
      <c r="F34" s="1"/>
      <c r="G34" s="27">
        <v>0</v>
      </c>
      <c r="H34" s="27">
        <v>0</v>
      </c>
      <c r="I34" s="27">
        <v>0</v>
      </c>
      <c r="J34" s="27">
        <v>0</v>
      </c>
      <c r="K34" s="27">
        <v>0</v>
      </c>
      <c r="L34" s="27">
        <v>0</v>
      </c>
      <c r="M34" s="27">
        <v>0</v>
      </c>
      <c r="N34" s="27">
        <v>0</v>
      </c>
      <c r="O34" s="19">
        <f>IFERROR(VLOOKUP($A34,'Parameter Values'!$A$78:$E$107,2,FALSE),'Parameter Values'!B$107)</f>
        <v>22900</v>
      </c>
      <c r="P34" s="19">
        <f>IFERROR(VLOOKUP($A34,'Parameter Values'!$A$78:$E$107,3,FALSE),'Parameter Values'!C$107)</f>
        <v>63700</v>
      </c>
      <c r="Q34" s="19">
        <f>IFERROR(VLOOKUP($A34,'Parameter Values'!$A$78:$E$107,4,FALSE),'Parameter Values'!D$107)</f>
        <v>1108000</v>
      </c>
      <c r="R34" s="19">
        <f>IFERROR(VLOOKUP($A34,'Parameter Values'!$A$78:$E$107,5,FALSE),'Parameter Values'!E$107)</f>
        <v>284</v>
      </c>
      <c r="S34" s="19">
        <f t="shared" ref="S34:S62" si="0">(B34-C34)+((G34-H34)*O34)+((I34-J34)*P34)+((K34-L34)*Q34)</f>
        <v>900.24439500000017</v>
      </c>
      <c r="T34" s="18">
        <f t="shared" ref="T34:T62" si="1">(D34-E34)+((M34-N34)*R34)</f>
        <v>7982.1669690000053</v>
      </c>
      <c r="AA34" s="13"/>
      <c r="AB34" s="218" t="str">
        <f>IF(T33=0,"No savings assumed as vehicle volume unchanged by project","Function of vehicle volume and mileage. See Inputs tab for detail")</f>
        <v>Function of vehicle volume and mileage. See Inputs tab for detail</v>
      </c>
      <c r="AC34" s="219"/>
      <c r="AD34" s="219"/>
      <c r="AE34" s="219"/>
      <c r="AF34" s="219"/>
      <c r="AG34" s="219"/>
      <c r="AH34" s="219"/>
      <c r="AI34" s="219"/>
      <c r="AJ34" s="219"/>
      <c r="AK34" s="219"/>
      <c r="AL34" s="219"/>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35">
      <c r="A35" s="1">
        <f>IF(A34&lt;'Project Information'!B$11,A34+1,"")</f>
        <v>2035</v>
      </c>
      <c r="B35" s="136">
        <f>('User Volumes'!L12*(Inputs!D$35))*$B$18</f>
        <v>2706.13465137</v>
      </c>
      <c r="C35" s="136">
        <f>('User Volumes'!M12*(Inputs!E$35))*$B$18</f>
        <v>1804.0897675799999</v>
      </c>
      <c r="D35" s="136">
        <f>('User Volumes'!L12*(Inputs!D$35))*$C$18</f>
        <v>23994.393908814003</v>
      </c>
      <c r="E35" s="136">
        <f>('User Volumes'!M12*(Inputs!E$35))*$C$18</f>
        <v>15996.262605876</v>
      </c>
      <c r="F35" s="1"/>
      <c r="G35" s="27">
        <v>0</v>
      </c>
      <c r="H35" s="27">
        <v>0</v>
      </c>
      <c r="I35" s="27">
        <v>0</v>
      </c>
      <c r="J35" s="27">
        <v>0</v>
      </c>
      <c r="K35" s="27">
        <v>0</v>
      </c>
      <c r="L35" s="27">
        <v>0</v>
      </c>
      <c r="M35" s="27">
        <v>0</v>
      </c>
      <c r="N35" s="27">
        <v>0</v>
      </c>
      <c r="O35" s="19">
        <f>IFERROR(VLOOKUP($A35,'Parameter Values'!$A$78:$E$107,2,FALSE),'Parameter Values'!B$107)</f>
        <v>22900</v>
      </c>
      <c r="P35" s="19">
        <f>IFERROR(VLOOKUP($A35,'Parameter Values'!$A$78:$E$107,3,FALSE),'Parameter Values'!C$107)</f>
        <v>63700</v>
      </c>
      <c r="Q35" s="19">
        <f>IFERROR(VLOOKUP($A35,'Parameter Values'!$A$78:$E$107,4,FALSE),'Parameter Values'!D$107)</f>
        <v>1108000</v>
      </c>
      <c r="R35" s="19">
        <f>IFERROR(VLOOKUP($A35,'Parameter Values'!$A$78:$E$107,5,FALSE),'Parameter Values'!E$107)</f>
        <v>288</v>
      </c>
      <c r="S35" s="19">
        <f t="shared" si="0"/>
        <v>902.04488379000009</v>
      </c>
      <c r="T35" s="18">
        <f t="shared" si="1"/>
        <v>7998.1313029380035</v>
      </c>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35">
      <c r="A36" s="1">
        <f>IF(A35&lt;'Project Information'!B$11,A35+1,"")</f>
        <v>2036</v>
      </c>
      <c r="B36" s="136">
        <f>('User Volumes'!L13*(Inputs!D$35))*$B$18</f>
        <v>2711.5469206727403</v>
      </c>
      <c r="C36" s="136">
        <f>('User Volumes'!M13*(Inputs!E$35))*$B$18</f>
        <v>1807.6979471151601</v>
      </c>
      <c r="D36" s="136">
        <f>('User Volumes'!L13*(Inputs!D$35))*$C$18</f>
        <v>24042.382696631634</v>
      </c>
      <c r="E36" s="136">
        <f>('User Volumes'!M13*(Inputs!E$35))*$C$18</f>
        <v>16028.255131087753</v>
      </c>
      <c r="F36" s="1"/>
      <c r="G36" s="27">
        <v>0</v>
      </c>
      <c r="H36" s="27">
        <v>0</v>
      </c>
      <c r="I36" s="27">
        <v>0</v>
      </c>
      <c r="J36" s="27">
        <v>0</v>
      </c>
      <c r="K36" s="27">
        <v>0</v>
      </c>
      <c r="L36" s="27">
        <v>0</v>
      </c>
      <c r="M36" s="27">
        <v>0</v>
      </c>
      <c r="N36" s="27">
        <v>0</v>
      </c>
      <c r="O36" s="19">
        <f>IFERROR(VLOOKUP($A36,'Parameter Values'!$A$78:$E$107,2,FALSE),'Parameter Values'!B$107)</f>
        <v>22900</v>
      </c>
      <c r="P36" s="19">
        <f>IFERROR(VLOOKUP($A36,'Parameter Values'!$A$78:$E$107,3,FALSE),'Parameter Values'!C$107)</f>
        <v>63700</v>
      </c>
      <c r="Q36" s="19">
        <f>IFERROR(VLOOKUP($A36,'Parameter Values'!$A$78:$E$107,4,FALSE),'Parameter Values'!D$107)</f>
        <v>1108000</v>
      </c>
      <c r="R36" s="19">
        <f>IFERROR(VLOOKUP($A36,'Parameter Values'!$A$78:$E$107,5,FALSE),'Parameter Values'!E$107)</f>
        <v>292</v>
      </c>
      <c r="S36" s="19">
        <f t="shared" si="0"/>
        <v>903.84897355758017</v>
      </c>
      <c r="T36" s="18">
        <f t="shared" si="1"/>
        <v>8014.1275655438803</v>
      </c>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35">
      <c r="A37" s="1">
        <f>IF(A36&lt;'Project Information'!B$11,A36+1,"")</f>
        <v>2037</v>
      </c>
      <c r="B37" s="136">
        <f>('User Volumes'!L14*(Inputs!D$35))*$B$18</f>
        <v>2716.9700145140855</v>
      </c>
      <c r="C37" s="136">
        <f>('User Volumes'!M14*(Inputs!E$35))*$B$18</f>
        <v>1811.3133430093903</v>
      </c>
      <c r="D37" s="136">
        <f>('User Volumes'!L14*(Inputs!D$35))*$C$18</f>
        <v>24090.467462024895</v>
      </c>
      <c r="E37" s="136">
        <f>('User Volumes'!M14*(Inputs!E$35))*$C$18</f>
        <v>16060.311641349928</v>
      </c>
      <c r="F37" s="1"/>
      <c r="G37" s="27">
        <v>0</v>
      </c>
      <c r="H37" s="27">
        <v>0</v>
      </c>
      <c r="I37" s="27">
        <v>0</v>
      </c>
      <c r="J37" s="27">
        <v>0</v>
      </c>
      <c r="K37" s="27">
        <v>0</v>
      </c>
      <c r="L37" s="27">
        <v>0</v>
      </c>
      <c r="M37" s="27">
        <v>0</v>
      </c>
      <c r="N37" s="27">
        <v>0</v>
      </c>
      <c r="O37" s="19">
        <f>IFERROR(VLOOKUP($A37,'Parameter Values'!$A$78:$E$107,2,FALSE),'Parameter Values'!B$107)</f>
        <v>22900</v>
      </c>
      <c r="P37" s="19">
        <f>IFERROR(VLOOKUP($A37,'Parameter Values'!$A$78:$E$107,3,FALSE),'Parameter Values'!C$107)</f>
        <v>63700</v>
      </c>
      <c r="Q37" s="19">
        <f>IFERROR(VLOOKUP($A37,'Parameter Values'!$A$78:$E$107,4,FALSE),'Parameter Values'!D$107)</f>
        <v>1108000</v>
      </c>
      <c r="R37" s="19">
        <f>IFERROR(VLOOKUP($A37,'Parameter Values'!$A$78:$E$107,5,FALSE),'Parameter Values'!E$107)</f>
        <v>297</v>
      </c>
      <c r="S37" s="19">
        <f t="shared" si="0"/>
        <v>905.65667150469517</v>
      </c>
      <c r="T37" s="18">
        <f t="shared" si="1"/>
        <v>8030.1558206749669</v>
      </c>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35">
      <c r="A38" s="1">
        <f>IF(A37&lt;'Project Information'!B$11,A37+1,"")</f>
        <v>2038</v>
      </c>
      <c r="B38" s="136">
        <f>('User Volumes'!L15*(Inputs!D$35))*$B$18</f>
        <v>2722.4039545431133</v>
      </c>
      <c r="C38" s="136">
        <f>('User Volumes'!M15*(Inputs!E$35))*$B$18</f>
        <v>1814.9359696954089</v>
      </c>
      <c r="D38" s="136">
        <f>('User Volumes'!L15*(Inputs!D$35))*$C$18</f>
        <v>24138.648396948942</v>
      </c>
      <c r="E38" s="136">
        <f>('User Volumes'!M15*(Inputs!E$35))*$C$18</f>
        <v>16092.432264632627</v>
      </c>
      <c r="F38" s="1"/>
      <c r="G38" s="27">
        <v>0</v>
      </c>
      <c r="H38" s="27">
        <v>0</v>
      </c>
      <c r="I38" s="27">
        <v>0</v>
      </c>
      <c r="J38" s="27">
        <v>0</v>
      </c>
      <c r="K38" s="27">
        <v>0</v>
      </c>
      <c r="L38" s="27">
        <v>0</v>
      </c>
      <c r="M38" s="27">
        <v>0</v>
      </c>
      <c r="N38" s="27">
        <v>0</v>
      </c>
      <c r="O38" s="19">
        <f>IFERROR(VLOOKUP($A38,'Parameter Values'!$A$78:$E$107,2,FALSE),'Parameter Values'!B$107)</f>
        <v>22900</v>
      </c>
      <c r="P38" s="19">
        <f>IFERROR(VLOOKUP($A38,'Parameter Values'!$A$78:$E$107,3,FALSE),'Parameter Values'!C$107)</f>
        <v>63700</v>
      </c>
      <c r="Q38" s="19">
        <f>IFERROR(VLOOKUP($A38,'Parameter Values'!$A$78:$E$107,4,FALSE),'Parameter Values'!D$107)</f>
        <v>1108000</v>
      </c>
      <c r="R38" s="19">
        <f>IFERROR(VLOOKUP($A38,'Parameter Values'!$A$78:$E$107,5,FALSE),'Parameter Values'!E$107)</f>
        <v>301</v>
      </c>
      <c r="S38" s="19">
        <f t="shared" si="0"/>
        <v>907.46798484770443</v>
      </c>
      <c r="T38" s="18">
        <f t="shared" si="1"/>
        <v>8046.2161323163145</v>
      </c>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35">
      <c r="A39" s="1">
        <f>IF(A38&lt;'Project Information'!B$11,A38+1,"")</f>
        <v>2039</v>
      </c>
      <c r="B39" s="136">
        <f>('User Volumes'!L16*(Inputs!D$35))*$B$18</f>
        <v>2727.8487624521995</v>
      </c>
      <c r="C39" s="136">
        <f>('User Volumes'!M16*(Inputs!E$35))*$B$18</f>
        <v>1818.5658416347997</v>
      </c>
      <c r="D39" s="136">
        <f>('User Volumes'!L16*(Inputs!D$35))*$C$18</f>
        <v>24186.925693742836</v>
      </c>
      <c r="E39" s="136">
        <f>('User Volumes'!M16*(Inputs!E$35))*$C$18</f>
        <v>16124.61712916189</v>
      </c>
      <c r="F39" s="1"/>
      <c r="G39" s="27">
        <v>0</v>
      </c>
      <c r="H39" s="27">
        <v>0</v>
      </c>
      <c r="I39" s="27">
        <v>0</v>
      </c>
      <c r="J39" s="27">
        <v>0</v>
      </c>
      <c r="K39" s="27">
        <v>0</v>
      </c>
      <c r="L39" s="27">
        <v>0</v>
      </c>
      <c r="M39" s="27">
        <v>0</v>
      </c>
      <c r="N39" s="27">
        <v>0</v>
      </c>
      <c r="O39" s="19">
        <f>IFERROR(VLOOKUP($A39,'Parameter Values'!$A$78:$E$107,2,FALSE),'Parameter Values'!B$107)</f>
        <v>22900</v>
      </c>
      <c r="P39" s="19">
        <f>IFERROR(VLOOKUP($A39,'Parameter Values'!$A$78:$E$107,3,FALSE),'Parameter Values'!C$107)</f>
        <v>63700</v>
      </c>
      <c r="Q39" s="19">
        <f>IFERROR(VLOOKUP($A39,'Parameter Values'!$A$78:$E$107,4,FALSE),'Parameter Values'!D$107)</f>
        <v>1108000</v>
      </c>
      <c r="R39" s="19">
        <f>IFERROR(VLOOKUP($A39,'Parameter Values'!$A$78:$E$107,5,FALSE),'Parameter Values'!E$107)</f>
        <v>305</v>
      </c>
      <c r="S39" s="19">
        <f t="shared" si="0"/>
        <v>909.28292081739983</v>
      </c>
      <c r="T39" s="18">
        <f t="shared" si="1"/>
        <v>8062.308564580946</v>
      </c>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35">
      <c r="A40" s="1">
        <f>IF(A39&lt;'Project Information'!B$11,A39+1,"")</f>
        <v>2040</v>
      </c>
      <c r="B40" s="136">
        <f>('User Volumes'!L17*(Inputs!D$35))*$B$18</f>
        <v>2733.3044599771042</v>
      </c>
      <c r="C40" s="136">
        <f>('User Volumes'!M17*(Inputs!E$35))*$B$18</f>
        <v>1822.2029733180693</v>
      </c>
      <c r="D40" s="136">
        <f>('User Volumes'!L17*(Inputs!D$35))*$C$18</f>
        <v>24235.299545130325</v>
      </c>
      <c r="E40" s="136">
        <f>('User Volumes'!M17*(Inputs!E$35))*$C$18</f>
        <v>16156.866363420217</v>
      </c>
      <c r="F40" s="1"/>
      <c r="G40" s="27">
        <v>0</v>
      </c>
      <c r="H40" s="27">
        <v>0</v>
      </c>
      <c r="I40" s="27">
        <v>0</v>
      </c>
      <c r="J40" s="27">
        <v>0</v>
      </c>
      <c r="K40" s="27">
        <v>0</v>
      </c>
      <c r="L40" s="27">
        <v>0</v>
      </c>
      <c r="M40" s="27">
        <v>0</v>
      </c>
      <c r="N40" s="27">
        <v>0</v>
      </c>
      <c r="O40" s="19">
        <f>IFERROR(VLOOKUP($A40,'Parameter Values'!$A$78:$E$107,2,FALSE),'Parameter Values'!B$107)</f>
        <v>22900</v>
      </c>
      <c r="P40" s="19">
        <f>IFERROR(VLOOKUP($A40,'Parameter Values'!$A$78:$E$107,3,FALSE),'Parameter Values'!C$107)</f>
        <v>63700</v>
      </c>
      <c r="Q40" s="19">
        <f>IFERROR(VLOOKUP($A40,'Parameter Values'!$A$78:$E$107,4,FALSE),'Parameter Values'!D$107)</f>
        <v>1108000</v>
      </c>
      <c r="R40" s="19">
        <f>IFERROR(VLOOKUP($A40,'Parameter Values'!$A$78:$E$107,5,FALSE),'Parameter Values'!E$107)</f>
        <v>310</v>
      </c>
      <c r="S40" s="19">
        <f t="shared" si="0"/>
        <v>911.10148665903489</v>
      </c>
      <c r="T40" s="18">
        <f t="shared" si="1"/>
        <v>8078.4331817101083</v>
      </c>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35">
      <c r="A41" s="1">
        <f>IF(A40&lt;'Project Information'!B$11,A40+1,"")</f>
        <v>2041</v>
      </c>
      <c r="B41" s="136">
        <f>('User Volumes'!L18*(Inputs!D$35))*$B$18</f>
        <v>2738.7710688970583</v>
      </c>
      <c r="C41" s="136">
        <f>('User Volumes'!M18*(Inputs!E$35))*$B$18</f>
        <v>1825.8473792647053</v>
      </c>
      <c r="D41" s="136">
        <f>('User Volumes'!L18*(Inputs!D$35))*$C$18</f>
        <v>24283.770144220583</v>
      </c>
      <c r="E41" s="136">
        <f>('User Volumes'!M18*(Inputs!E$35))*$C$18</f>
        <v>16189.180096147056</v>
      </c>
      <c r="F41" s="1"/>
      <c r="G41" s="27">
        <v>0</v>
      </c>
      <c r="H41" s="27">
        <v>0</v>
      </c>
      <c r="I41" s="27">
        <v>0</v>
      </c>
      <c r="J41" s="27">
        <v>0</v>
      </c>
      <c r="K41" s="27">
        <v>0</v>
      </c>
      <c r="L41" s="27">
        <v>0</v>
      </c>
      <c r="M41" s="27">
        <v>0</v>
      </c>
      <c r="N41" s="27">
        <v>0</v>
      </c>
      <c r="O41" s="19">
        <f>IFERROR(VLOOKUP($A41,'Parameter Values'!$A$78:$E$107,2,FALSE),'Parameter Values'!B$107)</f>
        <v>22900</v>
      </c>
      <c r="P41" s="19">
        <f>IFERROR(VLOOKUP($A41,'Parameter Values'!$A$78:$E$107,3,FALSE),'Parameter Values'!C$107)</f>
        <v>63700</v>
      </c>
      <c r="Q41" s="19">
        <f>IFERROR(VLOOKUP($A41,'Parameter Values'!$A$78:$E$107,4,FALSE),'Parameter Values'!D$107)</f>
        <v>1108000</v>
      </c>
      <c r="R41" s="19">
        <f>IFERROR(VLOOKUP($A41,'Parameter Values'!$A$78:$E$107,5,FALSE),'Parameter Values'!E$107)</f>
        <v>314</v>
      </c>
      <c r="S41" s="19">
        <f t="shared" si="0"/>
        <v>912.92368963235299</v>
      </c>
      <c r="T41" s="18">
        <f t="shared" si="1"/>
        <v>8094.5900480735272</v>
      </c>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35">
      <c r="A42" s="1">
        <f>IF(A41&lt;'Project Information'!B$11,A41+1,"")</f>
        <v>2042</v>
      </c>
      <c r="B42" s="136">
        <f>('User Volumes'!L19*(Inputs!D$35))*$B$18</f>
        <v>2744.2486110348523</v>
      </c>
      <c r="C42" s="136">
        <f>('User Volumes'!M19*(Inputs!E$35))*$B$18</f>
        <v>1829.4990740232349</v>
      </c>
      <c r="D42" s="136">
        <f>('User Volumes'!L19*(Inputs!D$35))*$C$18</f>
        <v>24332.337684509028</v>
      </c>
      <c r="E42" s="136">
        <f>('User Volumes'!M19*(Inputs!E$35))*$C$18</f>
        <v>16221.558456339351</v>
      </c>
      <c r="F42" s="1"/>
      <c r="G42" s="27">
        <v>0</v>
      </c>
      <c r="H42" s="27">
        <v>0</v>
      </c>
      <c r="I42" s="27">
        <v>0</v>
      </c>
      <c r="J42" s="27">
        <v>0</v>
      </c>
      <c r="K42" s="27">
        <v>0</v>
      </c>
      <c r="L42" s="27">
        <v>0</v>
      </c>
      <c r="M42" s="27">
        <v>0</v>
      </c>
      <c r="N42" s="27">
        <v>0</v>
      </c>
      <c r="O42" s="19">
        <f>IFERROR(VLOOKUP($A42,'Parameter Values'!$A$78:$E$107,2,FALSE),'Parameter Values'!B$107)</f>
        <v>22900</v>
      </c>
      <c r="P42" s="19">
        <f>IFERROR(VLOOKUP($A42,'Parameter Values'!$A$78:$E$107,3,FALSE),'Parameter Values'!C$107)</f>
        <v>63700</v>
      </c>
      <c r="Q42" s="19">
        <f>IFERROR(VLOOKUP($A42,'Parameter Values'!$A$78:$E$107,4,FALSE),'Parameter Values'!D$107)</f>
        <v>1108000</v>
      </c>
      <c r="R42" s="19">
        <f>IFERROR(VLOOKUP($A42,'Parameter Values'!$A$78:$E$107,5,FALSE),'Parameter Values'!E$107)</f>
        <v>319</v>
      </c>
      <c r="S42" s="19">
        <f t="shared" si="0"/>
        <v>914.74953701161735</v>
      </c>
      <c r="T42" s="18">
        <f t="shared" si="1"/>
        <v>8110.7792281696766</v>
      </c>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35">
      <c r="A43" s="1">
        <f>IF(A42&lt;'Project Information'!B$11,A42+1,"")</f>
        <v>2043</v>
      </c>
      <c r="B43" s="136">
        <f>('User Volumes'!L20*(Inputs!D$35))*$B$18</f>
        <v>2749.7371082569225</v>
      </c>
      <c r="C43" s="136">
        <f>('User Volumes'!M20*(Inputs!E$35))*$B$18</f>
        <v>1833.1580721712812</v>
      </c>
      <c r="D43" s="136">
        <f>('User Volumes'!L20*(Inputs!D$35))*$C$18</f>
        <v>24381.002359878046</v>
      </c>
      <c r="E43" s="136">
        <f>('User Volumes'!M20*(Inputs!E$35))*$C$18</f>
        <v>16254.00157325203</v>
      </c>
      <c r="F43" s="1"/>
      <c r="G43" s="27">
        <v>0</v>
      </c>
      <c r="H43" s="27">
        <v>0</v>
      </c>
      <c r="I43" s="27">
        <v>0</v>
      </c>
      <c r="J43" s="27">
        <v>0</v>
      </c>
      <c r="K43" s="27">
        <v>0</v>
      </c>
      <c r="L43" s="27">
        <v>0</v>
      </c>
      <c r="M43" s="27">
        <v>0</v>
      </c>
      <c r="N43" s="27">
        <v>0</v>
      </c>
      <c r="O43" s="19">
        <f>IFERROR(VLOOKUP($A43,'Parameter Values'!$A$78:$E$107,2,FALSE),'Parameter Values'!B$107)</f>
        <v>22900</v>
      </c>
      <c r="P43" s="19">
        <f>IFERROR(VLOOKUP($A43,'Parameter Values'!$A$78:$E$107,3,FALSE),'Parameter Values'!C$107)</f>
        <v>63700</v>
      </c>
      <c r="Q43" s="19">
        <f>IFERROR(VLOOKUP($A43,'Parameter Values'!$A$78:$E$107,4,FALSE),'Parameter Values'!D$107)</f>
        <v>1108000</v>
      </c>
      <c r="R43" s="19">
        <f>IFERROR(VLOOKUP($A43,'Parameter Values'!$A$78:$E$107,5,FALSE),'Parameter Values'!E$107)</f>
        <v>324</v>
      </c>
      <c r="S43" s="19">
        <f t="shared" si="0"/>
        <v>916.57903608564129</v>
      </c>
      <c r="T43" s="18">
        <f t="shared" si="1"/>
        <v>8127.0007866260166</v>
      </c>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35">
      <c r="A44" s="1">
        <f>IF(A43&lt;'Project Information'!B$11,A43+1,"")</f>
        <v>2044</v>
      </c>
      <c r="B44" s="136">
        <f>('User Volumes'!L21*(Inputs!D$35))*$B$18</f>
        <v>2755.2365824734361</v>
      </c>
      <c r="C44" s="136">
        <f>('User Volumes'!M21*(Inputs!E$35))*$B$18</f>
        <v>1836.824388315624</v>
      </c>
      <c r="D44" s="136">
        <f>('User Volumes'!L21*(Inputs!D$35))*$C$18</f>
        <v>24429.764364597802</v>
      </c>
      <c r="E44" s="136">
        <f>('User Volumes'!M21*(Inputs!E$35))*$C$18</f>
        <v>16286.509576398534</v>
      </c>
      <c r="F44" s="1"/>
      <c r="G44" s="27">
        <v>0</v>
      </c>
      <c r="H44" s="27">
        <v>0</v>
      </c>
      <c r="I44" s="27">
        <v>0</v>
      </c>
      <c r="J44" s="27">
        <v>0</v>
      </c>
      <c r="K44" s="27">
        <v>0</v>
      </c>
      <c r="L44" s="27">
        <v>0</v>
      </c>
      <c r="M44" s="27">
        <v>0</v>
      </c>
      <c r="N44" s="27">
        <v>0</v>
      </c>
      <c r="O44" s="19">
        <f>IFERROR(VLOOKUP($A44,'Parameter Values'!$A$78:$E$107,2,FALSE),'Parameter Values'!B$107)</f>
        <v>22900</v>
      </c>
      <c r="P44" s="19">
        <f>IFERROR(VLOOKUP($A44,'Parameter Values'!$A$78:$E$107,3,FALSE),'Parameter Values'!C$107)</f>
        <v>63700</v>
      </c>
      <c r="Q44" s="19">
        <f>IFERROR(VLOOKUP($A44,'Parameter Values'!$A$78:$E$107,4,FALSE),'Parameter Values'!D$107)</f>
        <v>1108000</v>
      </c>
      <c r="R44" s="19">
        <f>IFERROR(VLOOKUP($A44,'Parameter Values'!$A$78:$E$107,5,FALSE),'Parameter Values'!E$107)</f>
        <v>328</v>
      </c>
      <c r="S44" s="19">
        <f t="shared" si="0"/>
        <v>918.41219415781211</v>
      </c>
      <c r="T44" s="18">
        <f t="shared" si="1"/>
        <v>8143.2547881992687</v>
      </c>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35">
      <c r="A45" s="1">
        <f>IF(A44&lt;'Project Information'!B$11,A44+1,"")</f>
        <v>2045</v>
      </c>
      <c r="B45" s="136">
        <f>('User Volumes'!L22*(Inputs!D$35))*$B$18</f>
        <v>2760.7470556383832</v>
      </c>
      <c r="C45" s="136">
        <f>('User Volumes'!M22*(Inputs!E$35))*$B$18</f>
        <v>1840.4980370922553</v>
      </c>
      <c r="D45" s="136">
        <f>('User Volumes'!L22*(Inputs!D$35))*$C$18</f>
        <v>24478.623893327</v>
      </c>
      <c r="E45" s="136">
        <f>('User Volumes'!M22*(Inputs!E$35))*$C$18</f>
        <v>16319.082595551332</v>
      </c>
      <c r="F45" s="1"/>
      <c r="G45" s="27">
        <v>0</v>
      </c>
      <c r="H45" s="27">
        <v>0</v>
      </c>
      <c r="I45" s="27">
        <v>0</v>
      </c>
      <c r="J45" s="27">
        <v>0</v>
      </c>
      <c r="K45" s="27">
        <v>0</v>
      </c>
      <c r="L45" s="27">
        <v>0</v>
      </c>
      <c r="M45" s="27">
        <v>0</v>
      </c>
      <c r="N45" s="27">
        <v>0</v>
      </c>
      <c r="O45" s="19">
        <f>IFERROR(VLOOKUP($A45,'Parameter Values'!$A$78:$E$107,2,FALSE),'Parameter Values'!B$107)</f>
        <v>22900</v>
      </c>
      <c r="P45" s="19">
        <f>IFERROR(VLOOKUP($A45,'Parameter Values'!$A$78:$E$107,3,FALSE),'Parameter Values'!C$107)</f>
        <v>63700</v>
      </c>
      <c r="Q45" s="19">
        <f>IFERROR(VLOOKUP($A45,'Parameter Values'!$A$78:$E$107,4,FALSE),'Parameter Values'!D$107)</f>
        <v>1108000</v>
      </c>
      <c r="R45" s="19">
        <f>IFERROR(VLOOKUP($A45,'Parameter Values'!$A$78:$E$107,5,FALSE),'Parameter Values'!E$107)</f>
        <v>333</v>
      </c>
      <c r="S45" s="19">
        <f t="shared" si="0"/>
        <v>920.2490185461279</v>
      </c>
      <c r="T45" s="18">
        <f t="shared" si="1"/>
        <v>8159.5412977756678</v>
      </c>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35">
      <c r="A46" s="1">
        <f>IF(A45&lt;'Project Information'!B$11,A45+1,"")</f>
        <v>2046</v>
      </c>
      <c r="B46" s="136">
        <f>('User Volumes'!L23*(Inputs!D$35))*$B$18</f>
        <v>2766.2685497496595</v>
      </c>
      <c r="C46" s="136">
        <f>('User Volumes'!M23*(Inputs!E$35))*$B$18</f>
        <v>1844.1790331664399</v>
      </c>
      <c r="D46" s="136">
        <f>('User Volumes'!L23*(Inputs!D$35))*$C$18</f>
        <v>24527.581141113653</v>
      </c>
      <c r="E46" s="136">
        <f>('User Volumes'!M23*(Inputs!E$35))*$C$18</f>
        <v>16351.720760742435</v>
      </c>
      <c r="F46" s="1"/>
      <c r="G46" s="27">
        <v>0</v>
      </c>
      <c r="H46" s="27">
        <v>0</v>
      </c>
      <c r="I46" s="27">
        <v>0</v>
      </c>
      <c r="J46" s="27">
        <v>0</v>
      </c>
      <c r="K46" s="27">
        <v>0</v>
      </c>
      <c r="L46" s="27">
        <v>0</v>
      </c>
      <c r="M46" s="27">
        <v>0</v>
      </c>
      <c r="N46" s="27">
        <v>0</v>
      </c>
      <c r="O46" s="19">
        <f>IFERROR(VLOOKUP($A46,'Parameter Values'!$A$78:$E$107,2,FALSE),'Parameter Values'!B$107)</f>
        <v>22900</v>
      </c>
      <c r="P46" s="19">
        <f>IFERROR(VLOOKUP($A46,'Parameter Values'!$A$78:$E$107,3,FALSE),'Parameter Values'!C$107)</f>
        <v>63700</v>
      </c>
      <c r="Q46" s="19">
        <f>IFERROR(VLOOKUP($A46,'Parameter Values'!$A$78:$E$107,4,FALSE),'Parameter Values'!D$107)</f>
        <v>1108000</v>
      </c>
      <c r="R46" s="19">
        <f>IFERROR(VLOOKUP($A46,'Parameter Values'!$A$78:$E$107,5,FALSE),'Parameter Values'!E$107)</f>
        <v>338</v>
      </c>
      <c r="S46" s="19">
        <f t="shared" si="0"/>
        <v>922.08951658321962</v>
      </c>
      <c r="T46" s="18">
        <f t="shared" si="1"/>
        <v>8175.8603803712176</v>
      </c>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35">
      <c r="A47" s="1">
        <f>IF(A46&lt;'Project Information'!B$11,A46+1,"")</f>
        <v>2047</v>
      </c>
      <c r="B47" s="136">
        <f>('User Volumes'!L24*(Inputs!D$35))*$B$18</f>
        <v>2771.8010868491592</v>
      </c>
      <c r="C47" s="136">
        <f>('User Volumes'!M24*(Inputs!E$35))*$B$18</f>
        <v>1847.8673912327724</v>
      </c>
      <c r="D47" s="136">
        <f>('User Volumes'!L24*(Inputs!D$35))*$C$18</f>
        <v>24576.636303395881</v>
      </c>
      <c r="E47" s="136">
        <f>('User Volumes'!M24*(Inputs!E$35))*$C$18</f>
        <v>16384.424202263916</v>
      </c>
      <c r="F47" s="1"/>
      <c r="G47" s="27">
        <v>0</v>
      </c>
      <c r="H47" s="27">
        <v>0</v>
      </c>
      <c r="I47" s="27">
        <v>0</v>
      </c>
      <c r="J47" s="27">
        <v>0</v>
      </c>
      <c r="K47" s="27">
        <v>0</v>
      </c>
      <c r="L47" s="27">
        <v>0</v>
      </c>
      <c r="M47" s="27">
        <v>0</v>
      </c>
      <c r="N47" s="27">
        <v>0</v>
      </c>
      <c r="O47" s="19">
        <f>IFERROR(VLOOKUP($A47,'Parameter Values'!$A$78:$E$107,2,FALSE),'Parameter Values'!B$107)</f>
        <v>22900</v>
      </c>
      <c r="P47" s="19">
        <f>IFERROR(VLOOKUP($A47,'Parameter Values'!$A$78:$E$107,3,FALSE),'Parameter Values'!C$107)</f>
        <v>63700</v>
      </c>
      <c r="Q47" s="19">
        <f>IFERROR(VLOOKUP($A47,'Parameter Values'!$A$78:$E$107,4,FALSE),'Parameter Values'!D$107)</f>
        <v>1108000</v>
      </c>
      <c r="R47" s="19">
        <f>IFERROR(VLOOKUP($A47,'Parameter Values'!$A$78:$E$107,5,FALSE),'Parameter Values'!E$107)</f>
        <v>344</v>
      </c>
      <c r="S47" s="19">
        <f t="shared" si="0"/>
        <v>923.93369561638679</v>
      </c>
      <c r="T47" s="18">
        <f t="shared" si="1"/>
        <v>8192.212101131965</v>
      </c>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35">
      <c r="A48" s="1">
        <f>IF(A47&lt;'Project Information'!B$11,A47+1,"")</f>
        <v>2048</v>
      </c>
      <c r="B48" s="136">
        <f>('User Volumes'!L25*(Inputs!D$35))*$B$18</f>
        <v>2777.3446890228574</v>
      </c>
      <c r="C48" s="136">
        <f>('User Volumes'!M25*(Inputs!E$35))*$B$18</f>
        <v>1851.5631260152381</v>
      </c>
      <c r="D48" s="136">
        <f>('User Volumes'!L25*(Inputs!D$35))*$C$18</f>
        <v>24625.789576002669</v>
      </c>
      <c r="E48" s="136">
        <f>('User Volumes'!M25*(Inputs!E$35))*$C$18</f>
        <v>16417.193050668448</v>
      </c>
      <c r="F48" s="1"/>
      <c r="G48" s="27">
        <v>0</v>
      </c>
      <c r="H48" s="27">
        <v>0</v>
      </c>
      <c r="I48" s="27">
        <v>0</v>
      </c>
      <c r="J48" s="27">
        <v>0</v>
      </c>
      <c r="K48" s="27">
        <v>0</v>
      </c>
      <c r="L48" s="27">
        <v>0</v>
      </c>
      <c r="M48" s="27">
        <v>0</v>
      </c>
      <c r="N48" s="27">
        <v>0</v>
      </c>
      <c r="O48" s="19">
        <f>IFERROR(VLOOKUP($A48,'Parameter Values'!$A$78:$E$107,2,FALSE),'Parameter Values'!B$107)</f>
        <v>22900</v>
      </c>
      <c r="P48" s="19">
        <f>IFERROR(VLOOKUP($A48,'Parameter Values'!$A$78:$E$107,3,FALSE),'Parameter Values'!C$107)</f>
        <v>63700</v>
      </c>
      <c r="Q48" s="19">
        <f>IFERROR(VLOOKUP($A48,'Parameter Values'!$A$78:$E$107,4,FALSE),'Parameter Values'!D$107)</f>
        <v>1108000</v>
      </c>
      <c r="R48" s="19">
        <f>IFERROR(VLOOKUP($A48,'Parameter Values'!$A$78:$E$107,5,FALSE),'Parameter Values'!E$107)</f>
        <v>348</v>
      </c>
      <c r="S48" s="19">
        <f t="shared" si="0"/>
        <v>925.7815630076193</v>
      </c>
      <c r="T48" s="18">
        <f t="shared" si="1"/>
        <v>8208.596525334222</v>
      </c>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35">
      <c r="A49" s="1">
        <f>IF(A48&lt;'Project Information'!B$11,A48+1,"")</f>
        <v>2049</v>
      </c>
      <c r="B49" s="136">
        <f>('User Volumes'!L26*(Inputs!D$35))*$B$18</f>
        <v>2782.8993784009031</v>
      </c>
      <c r="C49" s="136">
        <f>('User Volumes'!M26*(Inputs!E$35))*$B$18</f>
        <v>1855.2662522672683</v>
      </c>
      <c r="D49" s="136">
        <f>('User Volumes'!L26*(Inputs!D$35))*$C$18</f>
        <v>24675.041155154675</v>
      </c>
      <c r="E49" s="136">
        <f>('User Volumes'!M26*(Inputs!E$35))*$C$18</f>
        <v>16450.027436769782</v>
      </c>
      <c r="F49" s="1"/>
      <c r="G49" s="27">
        <v>0</v>
      </c>
      <c r="H49" s="27">
        <v>0</v>
      </c>
      <c r="I49" s="27">
        <v>0</v>
      </c>
      <c r="J49" s="27">
        <v>0</v>
      </c>
      <c r="K49" s="27">
        <v>0</v>
      </c>
      <c r="L49" s="27">
        <v>0</v>
      </c>
      <c r="M49" s="27">
        <v>0</v>
      </c>
      <c r="N49" s="27">
        <v>0</v>
      </c>
      <c r="O49" s="19">
        <f>IFERROR(VLOOKUP($A49,'Parameter Values'!$A$78:$E$107,2,FALSE),'Parameter Values'!B$107)</f>
        <v>22900</v>
      </c>
      <c r="P49" s="19">
        <f>IFERROR(VLOOKUP($A49,'Parameter Values'!$A$78:$E$107,3,FALSE),'Parameter Values'!C$107)</f>
        <v>63700</v>
      </c>
      <c r="Q49" s="19">
        <f>IFERROR(VLOOKUP($A49,'Parameter Values'!$A$78:$E$107,4,FALSE),'Parameter Values'!D$107)</f>
        <v>1108000</v>
      </c>
      <c r="R49" s="19">
        <f>IFERROR(VLOOKUP($A49,'Parameter Values'!$A$78:$E$107,5,FALSE),'Parameter Values'!E$107)</f>
        <v>353</v>
      </c>
      <c r="S49" s="19">
        <f t="shared" si="0"/>
        <v>927.63312613363473</v>
      </c>
      <c r="T49" s="18">
        <f t="shared" si="1"/>
        <v>8225.0137183848929</v>
      </c>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35">
      <c r="A50" s="1">
        <f>IF(A49&lt;'Project Information'!B$11,A49+1,"")</f>
        <v>2050</v>
      </c>
      <c r="B50" s="136">
        <f>('User Volumes'!L27*(Inputs!D$35))*$B$18</f>
        <v>2788.4651771577051</v>
      </c>
      <c r="C50" s="136">
        <f>('User Volumes'!M27*(Inputs!E$35))*$B$18</f>
        <v>1858.9767847718031</v>
      </c>
      <c r="D50" s="136">
        <f>('User Volumes'!L27*(Inputs!D$35))*$C$18</f>
        <v>24724.391237464984</v>
      </c>
      <c r="E50" s="136">
        <f>('User Volumes'!M27*(Inputs!E$35))*$C$18</f>
        <v>16482.927491643321</v>
      </c>
      <c r="F50" s="1"/>
      <c r="G50" s="27">
        <v>0</v>
      </c>
      <c r="H50" s="27">
        <v>0</v>
      </c>
      <c r="I50" s="27">
        <v>0</v>
      </c>
      <c r="J50" s="27">
        <v>0</v>
      </c>
      <c r="K50" s="27">
        <v>0</v>
      </c>
      <c r="L50" s="27">
        <v>0</v>
      </c>
      <c r="M50" s="27">
        <v>0</v>
      </c>
      <c r="N50" s="27">
        <v>0</v>
      </c>
      <c r="O50" s="19">
        <f>IFERROR(VLOOKUP($A50,'Parameter Values'!$A$78:$E$107,2,FALSE),'Parameter Values'!B$107)</f>
        <v>22900</v>
      </c>
      <c r="P50" s="19">
        <f>IFERROR(VLOOKUP($A50,'Parameter Values'!$A$78:$E$107,3,FALSE),'Parameter Values'!C$107)</f>
        <v>63700</v>
      </c>
      <c r="Q50" s="19">
        <f>IFERROR(VLOOKUP($A50,'Parameter Values'!$A$78:$E$107,4,FALSE),'Parameter Values'!D$107)</f>
        <v>1108000</v>
      </c>
      <c r="R50" s="19">
        <f>IFERROR(VLOOKUP($A50,'Parameter Values'!$A$78:$E$107,5,FALSE),'Parameter Values'!E$107)</f>
        <v>357</v>
      </c>
      <c r="S50" s="19">
        <f t="shared" si="0"/>
        <v>929.48839238590199</v>
      </c>
      <c r="T50" s="18">
        <f t="shared" si="1"/>
        <v>8241.4637458216639</v>
      </c>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35">
      <c r="A51" s="1">
        <f>IF(A50&lt;'Project Information'!B$11,A50+1,"")</f>
        <v>2051</v>
      </c>
      <c r="B51" s="136">
        <f>('User Volumes'!L28*(Inputs!D$35))*$B$18</f>
        <v>2794.0421075120203</v>
      </c>
      <c r="C51" s="136">
        <f>('User Volumes'!M28*(Inputs!E$35))*$B$18</f>
        <v>1862.6947383413469</v>
      </c>
      <c r="D51" s="136">
        <f>('User Volumes'!L28*(Inputs!D$35))*$C$18</f>
        <v>24773.840019939915</v>
      </c>
      <c r="E51" s="136">
        <f>('User Volumes'!M28*(Inputs!E$35))*$C$18</f>
        <v>16515.89334662661</v>
      </c>
      <c r="F51" s="1"/>
      <c r="G51" s="27">
        <v>0</v>
      </c>
      <c r="H51" s="27">
        <v>0</v>
      </c>
      <c r="I51" s="27">
        <v>0</v>
      </c>
      <c r="J51" s="27">
        <v>0</v>
      </c>
      <c r="K51" s="27">
        <v>0</v>
      </c>
      <c r="L51" s="27">
        <v>0</v>
      </c>
      <c r="M51" s="27">
        <v>0</v>
      </c>
      <c r="N51" s="27">
        <v>0</v>
      </c>
      <c r="O51" s="19">
        <f>IFERROR(VLOOKUP($A51,'Parameter Values'!$A$78:$E$107,2,FALSE),'Parameter Values'!B$107)</f>
        <v>22900</v>
      </c>
      <c r="P51" s="19">
        <f>IFERROR(VLOOKUP($A51,'Parameter Values'!$A$78:$E$107,3,FALSE),'Parameter Values'!C$107)</f>
        <v>63700</v>
      </c>
      <c r="Q51" s="19">
        <f>IFERROR(VLOOKUP($A51,'Parameter Values'!$A$78:$E$107,4,FALSE),'Parameter Values'!D$107)</f>
        <v>1108000</v>
      </c>
      <c r="R51" s="19">
        <f>IFERROR(VLOOKUP($A51,'Parameter Values'!$A$78:$E$107,5,FALSE),'Parameter Values'!E$107)</f>
        <v>362</v>
      </c>
      <c r="S51" s="19">
        <f t="shared" si="0"/>
        <v>931.34736917067335</v>
      </c>
      <c r="T51" s="18">
        <f t="shared" si="1"/>
        <v>8257.9466733133049</v>
      </c>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35">
      <c r="A52" s="1">
        <f>IF(A51&lt;'Project Information'!B$11,A51+1,"")</f>
        <v>2052</v>
      </c>
      <c r="B52" s="136">
        <f>('User Volumes'!L29*(Inputs!D$35))*$B$18</f>
        <v>2799.6301917270439</v>
      </c>
      <c r="C52" s="136">
        <f>('User Volumes'!M29*(Inputs!E$35))*$B$18</f>
        <v>1866.4201278180294</v>
      </c>
      <c r="D52" s="136">
        <f>('User Volumes'!L29*(Inputs!D$35))*$C$18</f>
        <v>24823.387699979794</v>
      </c>
      <c r="E52" s="136">
        <f>('User Volumes'!M29*(Inputs!E$35))*$C$18</f>
        <v>16548.925133319863</v>
      </c>
      <c r="F52" s="1"/>
      <c r="G52" s="27">
        <v>0</v>
      </c>
      <c r="H52" s="27">
        <v>0</v>
      </c>
      <c r="I52" s="27">
        <v>0</v>
      </c>
      <c r="J52" s="27">
        <v>0</v>
      </c>
      <c r="K52" s="27">
        <v>0</v>
      </c>
      <c r="L52" s="27">
        <v>0</v>
      </c>
      <c r="M52" s="27">
        <v>0</v>
      </c>
      <c r="N52" s="27">
        <v>0</v>
      </c>
      <c r="O52" s="19">
        <f>IFERROR(VLOOKUP($A52,'Parameter Values'!$A$78:$E$107,2,FALSE),'Parameter Values'!B$107)</f>
        <v>22900</v>
      </c>
      <c r="P52" s="19">
        <f>IFERROR(VLOOKUP($A52,'Parameter Values'!$A$78:$E$107,3,FALSE),'Parameter Values'!C$107)</f>
        <v>63700</v>
      </c>
      <c r="Q52" s="19">
        <f>IFERROR(VLOOKUP($A52,'Parameter Values'!$A$78:$E$107,4,FALSE),'Parameter Values'!D$107)</f>
        <v>1108000</v>
      </c>
      <c r="R52" s="19">
        <f>IFERROR(VLOOKUP($A52,'Parameter Values'!$A$78:$E$107,5,FALSE),'Parameter Values'!E$107)</f>
        <v>366</v>
      </c>
      <c r="S52" s="19">
        <f t="shared" si="0"/>
        <v>933.21006390901448</v>
      </c>
      <c r="T52" s="18">
        <f t="shared" si="1"/>
        <v>8274.4625666599313</v>
      </c>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35">
      <c r="A53" s="1" t="str">
        <f>IF(A52&lt;'Project Information'!B$11,A52+1,"")</f>
        <v/>
      </c>
      <c r="B53" s="136">
        <v>0</v>
      </c>
      <c r="C53" s="136">
        <v>0</v>
      </c>
      <c r="D53" s="136">
        <v>0</v>
      </c>
      <c r="E53" s="137">
        <v>0</v>
      </c>
      <c r="F53" s="1"/>
      <c r="G53" s="27">
        <v>0</v>
      </c>
      <c r="H53" s="27">
        <v>0</v>
      </c>
      <c r="I53" s="27">
        <v>0</v>
      </c>
      <c r="J53" s="27">
        <v>0</v>
      </c>
      <c r="K53" s="27">
        <v>0</v>
      </c>
      <c r="L53" s="27">
        <v>0</v>
      </c>
      <c r="M53" s="27">
        <v>0</v>
      </c>
      <c r="N53" s="27">
        <v>0</v>
      </c>
      <c r="O53" s="19">
        <f>IFERROR(VLOOKUP($A53,'Parameter Values'!$A$78:$E$107,2,FALSE),'Parameter Values'!B$107)</f>
        <v>22900</v>
      </c>
      <c r="P53" s="19">
        <f>IFERROR(VLOOKUP($A53,'Parameter Values'!$A$78:$E$107,3,FALSE),'Parameter Values'!C$107)</f>
        <v>63700</v>
      </c>
      <c r="Q53" s="19">
        <f>IFERROR(VLOOKUP($A53,'Parameter Values'!$A$78:$E$107,4,FALSE),'Parameter Values'!D$107)</f>
        <v>1108000</v>
      </c>
      <c r="R53" s="19">
        <f>IFERROR(VLOOKUP($A53,'Parameter Values'!$A$78:$E$107,5,FALSE),'Parameter Values'!E$107)</f>
        <v>366</v>
      </c>
      <c r="S53" s="19">
        <f t="shared" si="0"/>
        <v>0</v>
      </c>
      <c r="T53" s="18">
        <f t="shared" si="1"/>
        <v>0</v>
      </c>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35">
      <c r="A54" s="1" t="str">
        <f>IF(A53&lt;'Project Information'!B$11,A53+1,"")</f>
        <v/>
      </c>
      <c r="B54" s="136">
        <v>0</v>
      </c>
      <c r="C54" s="136">
        <v>0</v>
      </c>
      <c r="D54" s="136">
        <v>0</v>
      </c>
      <c r="E54" s="137">
        <v>0</v>
      </c>
      <c r="F54" s="1"/>
      <c r="G54" s="27">
        <v>0</v>
      </c>
      <c r="H54" s="27">
        <v>0</v>
      </c>
      <c r="I54" s="27">
        <v>0</v>
      </c>
      <c r="J54" s="27">
        <v>0</v>
      </c>
      <c r="K54" s="27">
        <v>0</v>
      </c>
      <c r="L54" s="27">
        <v>0</v>
      </c>
      <c r="M54" s="27">
        <v>0</v>
      </c>
      <c r="N54" s="27">
        <v>0</v>
      </c>
      <c r="O54" s="19">
        <f>IFERROR(VLOOKUP($A54,'Parameter Values'!$A$78:$E$107,2,FALSE),'Parameter Values'!B$107)</f>
        <v>22900</v>
      </c>
      <c r="P54" s="19">
        <f>IFERROR(VLOOKUP($A54,'Parameter Values'!$A$78:$E$107,3,FALSE),'Parameter Values'!C$107)</f>
        <v>63700</v>
      </c>
      <c r="Q54" s="19">
        <f>IFERROR(VLOOKUP($A54,'Parameter Values'!$A$78:$E$107,4,FALSE),'Parameter Values'!D$107)</f>
        <v>1108000</v>
      </c>
      <c r="R54" s="19">
        <f>IFERROR(VLOOKUP($A54,'Parameter Values'!$A$78:$E$107,5,FALSE),'Parameter Values'!E$107)</f>
        <v>366</v>
      </c>
      <c r="S54" s="19">
        <f t="shared" si="0"/>
        <v>0</v>
      </c>
      <c r="T54" s="18">
        <f t="shared" si="1"/>
        <v>0</v>
      </c>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35">
      <c r="A55" s="1" t="str">
        <f>IF(A54&lt;'Project Information'!B$11,A54+1,"")</f>
        <v/>
      </c>
      <c r="B55" s="136">
        <v>0</v>
      </c>
      <c r="C55" s="136">
        <v>0</v>
      </c>
      <c r="D55" s="136">
        <v>0</v>
      </c>
      <c r="E55" s="137">
        <v>0</v>
      </c>
      <c r="F55" s="1"/>
      <c r="G55" s="27">
        <v>0</v>
      </c>
      <c r="H55" s="27">
        <v>0</v>
      </c>
      <c r="I55" s="27">
        <v>0</v>
      </c>
      <c r="J55" s="27">
        <v>0</v>
      </c>
      <c r="K55" s="27">
        <v>0</v>
      </c>
      <c r="L55" s="27">
        <v>0</v>
      </c>
      <c r="M55" s="27">
        <v>0</v>
      </c>
      <c r="N55" s="27">
        <v>0</v>
      </c>
      <c r="O55" s="19">
        <f>IFERROR(VLOOKUP($A55,'Parameter Values'!$A$78:$E$107,2,FALSE),'Parameter Values'!B$107)</f>
        <v>22900</v>
      </c>
      <c r="P55" s="19">
        <f>IFERROR(VLOOKUP($A55,'Parameter Values'!$A$78:$E$107,3,FALSE),'Parameter Values'!C$107)</f>
        <v>63700</v>
      </c>
      <c r="Q55" s="19">
        <f>IFERROR(VLOOKUP($A55,'Parameter Values'!$A$78:$E$107,4,FALSE),'Parameter Values'!D$107)</f>
        <v>1108000</v>
      </c>
      <c r="R55" s="19">
        <f>IFERROR(VLOOKUP($A55,'Parameter Values'!$A$78:$E$107,5,FALSE),'Parameter Values'!E$107)</f>
        <v>366</v>
      </c>
      <c r="S55" s="19">
        <f t="shared" si="0"/>
        <v>0</v>
      </c>
      <c r="T55" s="18">
        <f t="shared" si="1"/>
        <v>0</v>
      </c>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35">
      <c r="A56" s="1" t="str">
        <f>IF(A55&lt;'Project Information'!B$11,A55+1,"")</f>
        <v/>
      </c>
      <c r="B56" s="136">
        <v>0</v>
      </c>
      <c r="C56" s="136">
        <v>0</v>
      </c>
      <c r="D56" s="136">
        <v>0</v>
      </c>
      <c r="E56" s="137">
        <v>0</v>
      </c>
      <c r="F56" s="1"/>
      <c r="G56" s="27">
        <v>0</v>
      </c>
      <c r="H56" s="27">
        <v>0</v>
      </c>
      <c r="I56" s="27">
        <v>0</v>
      </c>
      <c r="J56" s="27">
        <v>0</v>
      </c>
      <c r="K56" s="27">
        <v>0</v>
      </c>
      <c r="L56" s="27">
        <v>0</v>
      </c>
      <c r="M56" s="27">
        <v>0</v>
      </c>
      <c r="N56" s="27">
        <v>0</v>
      </c>
      <c r="O56" s="19">
        <f>IFERROR(VLOOKUP($A56,'Parameter Values'!$A$78:$E$107,2,FALSE),'Parameter Values'!B$107)</f>
        <v>22900</v>
      </c>
      <c r="P56" s="19">
        <f>IFERROR(VLOOKUP($A56,'Parameter Values'!$A$78:$E$107,3,FALSE),'Parameter Values'!C$107)</f>
        <v>63700</v>
      </c>
      <c r="Q56" s="19">
        <f>IFERROR(VLOOKUP($A56,'Parameter Values'!$A$78:$E$107,4,FALSE),'Parameter Values'!D$107)</f>
        <v>1108000</v>
      </c>
      <c r="R56" s="19">
        <f>IFERROR(VLOOKUP($A56,'Parameter Values'!$A$78:$E$107,5,FALSE),'Parameter Values'!E$107)</f>
        <v>366</v>
      </c>
      <c r="S56" s="19">
        <f t="shared" si="0"/>
        <v>0</v>
      </c>
      <c r="T56" s="18">
        <f t="shared" si="1"/>
        <v>0</v>
      </c>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35">
      <c r="A57" s="1" t="str">
        <f>IF(A56&lt;'Project Information'!B$11,A56+1,"")</f>
        <v/>
      </c>
      <c r="B57" s="136">
        <v>0</v>
      </c>
      <c r="C57" s="136">
        <v>0</v>
      </c>
      <c r="D57" s="136">
        <v>0</v>
      </c>
      <c r="E57" s="137">
        <v>0</v>
      </c>
      <c r="F57" s="1"/>
      <c r="G57" s="27">
        <v>0</v>
      </c>
      <c r="H57" s="27">
        <v>0</v>
      </c>
      <c r="I57" s="27">
        <v>0</v>
      </c>
      <c r="J57" s="27">
        <v>0</v>
      </c>
      <c r="K57" s="27">
        <v>0</v>
      </c>
      <c r="L57" s="27">
        <v>0</v>
      </c>
      <c r="M57" s="27">
        <v>0</v>
      </c>
      <c r="N57" s="27">
        <v>0</v>
      </c>
      <c r="O57" s="19">
        <f>IFERROR(VLOOKUP($A57,'Parameter Values'!$A$78:$E$107,2,FALSE),'Parameter Values'!B$107)</f>
        <v>22900</v>
      </c>
      <c r="P57" s="19">
        <f>IFERROR(VLOOKUP($A57,'Parameter Values'!$A$78:$E$107,3,FALSE),'Parameter Values'!C$107)</f>
        <v>63700</v>
      </c>
      <c r="Q57" s="19">
        <f>IFERROR(VLOOKUP($A57,'Parameter Values'!$A$78:$E$107,4,FALSE),'Parameter Values'!D$107)</f>
        <v>1108000</v>
      </c>
      <c r="R57" s="19">
        <f>IFERROR(VLOOKUP($A57,'Parameter Values'!$A$78:$E$107,5,FALSE),'Parameter Values'!E$107)</f>
        <v>366</v>
      </c>
      <c r="S57" s="19">
        <f t="shared" si="0"/>
        <v>0</v>
      </c>
      <c r="T57" s="18">
        <f t="shared" si="1"/>
        <v>0</v>
      </c>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35">
      <c r="A58" s="1" t="str">
        <f>IF(A57&lt;'Project Information'!B$11,A57+1,"")</f>
        <v/>
      </c>
      <c r="B58" s="136">
        <v>0</v>
      </c>
      <c r="C58" s="136">
        <v>0</v>
      </c>
      <c r="D58" s="136">
        <v>0</v>
      </c>
      <c r="E58" s="137">
        <v>0</v>
      </c>
      <c r="F58" s="1"/>
      <c r="G58" s="27">
        <v>0</v>
      </c>
      <c r="H58" s="27">
        <v>0</v>
      </c>
      <c r="I58" s="27">
        <v>0</v>
      </c>
      <c r="J58" s="27">
        <v>0</v>
      </c>
      <c r="K58" s="27">
        <v>0</v>
      </c>
      <c r="L58" s="27">
        <v>0</v>
      </c>
      <c r="M58" s="27">
        <v>0</v>
      </c>
      <c r="N58" s="27">
        <v>0</v>
      </c>
      <c r="O58" s="19">
        <f>IFERROR(VLOOKUP($A58,'Parameter Values'!$A$78:$E$107,2,FALSE),'Parameter Values'!B$107)</f>
        <v>22900</v>
      </c>
      <c r="P58" s="19">
        <f>IFERROR(VLOOKUP($A58,'Parameter Values'!$A$78:$E$107,3,FALSE),'Parameter Values'!C$107)</f>
        <v>63700</v>
      </c>
      <c r="Q58" s="19">
        <f>IFERROR(VLOOKUP($A58,'Parameter Values'!$A$78:$E$107,4,FALSE),'Parameter Values'!D$107)</f>
        <v>1108000</v>
      </c>
      <c r="R58" s="19">
        <f>IFERROR(VLOOKUP($A58,'Parameter Values'!$A$78:$E$107,5,FALSE),'Parameter Values'!E$107)</f>
        <v>366</v>
      </c>
      <c r="S58" s="19">
        <f t="shared" si="0"/>
        <v>0</v>
      </c>
      <c r="T58" s="18">
        <f t="shared" si="1"/>
        <v>0</v>
      </c>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35">
      <c r="A59" s="1" t="str">
        <f>IF(A58&lt;'Project Information'!B$11,A58+1,"")</f>
        <v/>
      </c>
      <c r="B59" s="136">
        <v>0</v>
      </c>
      <c r="C59" s="136">
        <v>0</v>
      </c>
      <c r="D59" s="136">
        <v>0</v>
      </c>
      <c r="E59" s="137">
        <v>0</v>
      </c>
      <c r="F59" s="1"/>
      <c r="G59" s="27">
        <v>0</v>
      </c>
      <c r="H59" s="27">
        <v>0</v>
      </c>
      <c r="I59" s="27">
        <v>0</v>
      </c>
      <c r="J59" s="27">
        <v>0</v>
      </c>
      <c r="K59" s="27">
        <v>0</v>
      </c>
      <c r="L59" s="27">
        <v>0</v>
      </c>
      <c r="M59" s="27">
        <v>0</v>
      </c>
      <c r="N59" s="27">
        <v>0</v>
      </c>
      <c r="O59" s="19">
        <f>IFERROR(VLOOKUP($A59,'Parameter Values'!$A$78:$E$107,2,FALSE),'Parameter Values'!B$107)</f>
        <v>22900</v>
      </c>
      <c r="P59" s="19">
        <f>IFERROR(VLOOKUP($A59,'Parameter Values'!$A$78:$E$107,3,FALSE),'Parameter Values'!C$107)</f>
        <v>63700</v>
      </c>
      <c r="Q59" s="19">
        <f>IFERROR(VLOOKUP($A59,'Parameter Values'!$A$78:$E$107,4,FALSE),'Parameter Values'!D$107)</f>
        <v>1108000</v>
      </c>
      <c r="R59" s="19">
        <f>IFERROR(VLOOKUP($A59,'Parameter Values'!$A$78:$E$107,5,FALSE),'Parameter Values'!E$107)</f>
        <v>366</v>
      </c>
      <c r="S59" s="19">
        <f t="shared" si="0"/>
        <v>0</v>
      </c>
      <c r="T59" s="18">
        <f t="shared" si="1"/>
        <v>0</v>
      </c>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35">
      <c r="A60" s="1" t="str">
        <f>IF(A59&lt;'Project Information'!B$11,A59+1,"")</f>
        <v/>
      </c>
      <c r="B60" s="136">
        <v>0</v>
      </c>
      <c r="C60" s="136">
        <v>0</v>
      </c>
      <c r="D60" s="136">
        <v>0</v>
      </c>
      <c r="E60" s="137">
        <v>0</v>
      </c>
      <c r="F60" s="1"/>
      <c r="G60" s="27">
        <v>0</v>
      </c>
      <c r="H60" s="27">
        <v>0</v>
      </c>
      <c r="I60" s="27">
        <v>0</v>
      </c>
      <c r="J60" s="27">
        <v>0</v>
      </c>
      <c r="K60" s="27">
        <v>0</v>
      </c>
      <c r="L60" s="27">
        <v>0</v>
      </c>
      <c r="M60" s="27">
        <v>0</v>
      </c>
      <c r="N60" s="27">
        <v>0</v>
      </c>
      <c r="O60" s="19">
        <f>IFERROR(VLOOKUP($A60,'Parameter Values'!$A$78:$E$107,2,FALSE),'Parameter Values'!B$107)</f>
        <v>22900</v>
      </c>
      <c r="P60" s="19">
        <f>IFERROR(VLOOKUP($A60,'Parameter Values'!$A$78:$E$107,3,FALSE),'Parameter Values'!C$107)</f>
        <v>63700</v>
      </c>
      <c r="Q60" s="19">
        <f>IFERROR(VLOOKUP($A60,'Parameter Values'!$A$78:$E$107,4,FALSE),'Parameter Values'!D$107)</f>
        <v>1108000</v>
      </c>
      <c r="R60" s="19">
        <f>IFERROR(VLOOKUP($A60,'Parameter Values'!$A$78:$E$107,5,FALSE),'Parameter Values'!E$107)</f>
        <v>366</v>
      </c>
      <c r="S60" s="19">
        <f t="shared" si="0"/>
        <v>0</v>
      </c>
      <c r="T60" s="18">
        <f t="shared" si="1"/>
        <v>0</v>
      </c>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35">
      <c r="A61" s="1" t="str">
        <f>IF(A60&lt;'Project Information'!B$11,A60+1,"")</f>
        <v/>
      </c>
      <c r="B61" s="136">
        <v>0</v>
      </c>
      <c r="C61" s="136">
        <v>0</v>
      </c>
      <c r="D61" s="136">
        <v>0</v>
      </c>
      <c r="E61" s="137">
        <v>0</v>
      </c>
      <c r="F61" s="1"/>
      <c r="G61" s="27">
        <v>0</v>
      </c>
      <c r="H61" s="27">
        <v>0</v>
      </c>
      <c r="I61" s="27">
        <v>0</v>
      </c>
      <c r="J61" s="27">
        <v>0</v>
      </c>
      <c r="K61" s="27">
        <v>0</v>
      </c>
      <c r="L61" s="27">
        <v>0</v>
      </c>
      <c r="M61" s="27">
        <v>0</v>
      </c>
      <c r="N61" s="27">
        <v>0</v>
      </c>
      <c r="O61" s="19">
        <f>IFERROR(VLOOKUP($A61,'Parameter Values'!$A$78:$E$107,2,FALSE),'Parameter Values'!B$107)</f>
        <v>22900</v>
      </c>
      <c r="P61" s="19">
        <f>IFERROR(VLOOKUP($A61,'Parameter Values'!$A$78:$E$107,3,FALSE),'Parameter Values'!C$107)</f>
        <v>63700</v>
      </c>
      <c r="Q61" s="19">
        <f>IFERROR(VLOOKUP($A61,'Parameter Values'!$A$78:$E$107,4,FALSE),'Parameter Values'!D$107)</f>
        <v>1108000</v>
      </c>
      <c r="R61" s="19">
        <f>IFERROR(VLOOKUP($A61,'Parameter Values'!$A$78:$E$107,5,FALSE),'Parameter Values'!E$107)</f>
        <v>366</v>
      </c>
      <c r="S61" s="19">
        <f t="shared" si="0"/>
        <v>0</v>
      </c>
      <c r="T61" s="18">
        <f t="shared" si="1"/>
        <v>0</v>
      </c>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35">
      <c r="A62" s="1" t="str">
        <f>IF(A61&lt;'Project Information'!B$11,A61+1,"")</f>
        <v/>
      </c>
      <c r="B62" s="138">
        <v>0</v>
      </c>
      <c r="C62" s="138">
        <v>0</v>
      </c>
      <c r="D62" s="138">
        <v>0</v>
      </c>
      <c r="E62" s="139">
        <v>0</v>
      </c>
      <c r="F62" s="2"/>
      <c r="G62" s="34">
        <v>0</v>
      </c>
      <c r="H62" s="34">
        <v>0</v>
      </c>
      <c r="I62" s="34">
        <v>0</v>
      </c>
      <c r="J62" s="34">
        <v>0</v>
      </c>
      <c r="K62" s="34">
        <v>0</v>
      </c>
      <c r="L62" s="34">
        <v>0</v>
      </c>
      <c r="M62" s="34">
        <v>0</v>
      </c>
      <c r="N62" s="23">
        <v>0</v>
      </c>
      <c r="O62" s="20">
        <f>IFERROR(VLOOKUP($A62,'Parameter Values'!$A$78:$E$107,2,FALSE),'Parameter Values'!B$107)</f>
        <v>22900</v>
      </c>
      <c r="P62" s="20">
        <f>IFERROR(VLOOKUP($A62,'Parameter Values'!$A$78:$E$107,3,FALSE),'Parameter Values'!C$107)</f>
        <v>63700</v>
      </c>
      <c r="Q62" s="20">
        <f>IFERROR(VLOOKUP($A62,'Parameter Values'!$A$78:$E$107,4,FALSE),'Parameter Values'!D$107)</f>
        <v>1108000</v>
      </c>
      <c r="R62" s="20">
        <f>IFERROR(VLOOKUP($A62,'Parameter Values'!$A$78:$E$107,5,FALSE),'Parameter Values'!E$107)</f>
        <v>366</v>
      </c>
      <c r="S62" s="19">
        <f t="shared" si="0"/>
        <v>0</v>
      </c>
      <c r="T62" s="18">
        <f t="shared" si="1"/>
        <v>0</v>
      </c>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35">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35">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35">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35">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35">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35">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35">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35">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35">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35">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35">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35">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35">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35">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35">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35">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35">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35">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35">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35">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35">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35">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35">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35">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35">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35">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35">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35">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35">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35">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35">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35">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35">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35">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35">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35">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35">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35">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35">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35">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35">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35">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35">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35">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35">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35">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35">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35">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35">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 thickBot="1" x14ac:dyDescent="0.4">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zoomScale="53" workbookViewId="0">
      <selection activeCell="B11" sqref="B11"/>
    </sheetView>
  </sheetViews>
  <sheetFormatPr defaultColWidth="9.1796875" defaultRowHeight="14.5" x14ac:dyDescent="0.35"/>
  <cols>
    <col min="1" max="1" width="26.453125" style="5" customWidth="1"/>
    <col min="2" max="2" width="28.81640625" style="5" customWidth="1"/>
    <col min="3" max="5" width="9.1796875" style="5"/>
    <col min="6" max="6" width="67.08984375" style="5" bestFit="1" customWidth="1"/>
    <col min="7" max="7" width="23.81640625" style="5" bestFit="1" customWidth="1"/>
    <col min="8" max="8" width="127.6328125" style="5" bestFit="1" customWidth="1"/>
    <col min="9" max="9" width="77.7265625" style="5" bestFit="1" customWidth="1"/>
    <col min="10" max="11" width="9.1796875" style="5"/>
    <col min="12" max="12" width="46.36328125" style="5" bestFit="1" customWidth="1"/>
    <col min="13" max="16384" width="9.1796875" style="5"/>
  </cols>
  <sheetData>
    <row r="1" spans="1:52" ht="20" thickBot="1" x14ac:dyDescent="0.5">
      <c r="A1" s="96" t="s">
        <v>14</v>
      </c>
    </row>
    <row r="2" spans="1:52" ht="15" thickTop="1" x14ac:dyDescent="0.35">
      <c r="A2" s="152" t="s">
        <v>244</v>
      </c>
      <c r="B2" s="152"/>
      <c r="C2" s="152"/>
      <c r="D2" s="152"/>
      <c r="E2" s="152"/>
      <c r="F2" s="152"/>
      <c r="G2" s="152"/>
      <c r="H2" s="152"/>
      <c r="I2" s="152"/>
      <c r="J2" s="152"/>
      <c r="K2" s="152"/>
    </row>
    <row r="3" spans="1:52" x14ac:dyDescent="0.35">
      <c r="A3" s="5" t="s">
        <v>204</v>
      </c>
    </row>
    <row r="4" spans="1:52" x14ac:dyDescent="0.35">
      <c r="A4" s="153" t="s">
        <v>356</v>
      </c>
      <c r="B4" s="152"/>
      <c r="C4" s="152"/>
      <c r="D4" s="152"/>
      <c r="E4" s="152"/>
      <c r="F4" s="152"/>
      <c r="G4" s="152"/>
      <c r="H4" s="152"/>
      <c r="I4" s="152"/>
      <c r="J4" s="152"/>
      <c r="K4" s="152"/>
      <c r="L4" s="152"/>
      <c r="M4" s="152"/>
      <c r="N4" s="152"/>
    </row>
    <row r="5" spans="1:52" x14ac:dyDescent="0.35">
      <c r="A5" s="38" t="s">
        <v>204</v>
      </c>
    </row>
    <row r="6" spans="1:52" x14ac:dyDescent="0.35">
      <c r="A6" s="153" t="s">
        <v>252</v>
      </c>
      <c r="B6" s="152"/>
      <c r="C6" s="152"/>
      <c r="D6" s="152"/>
      <c r="E6" s="152"/>
    </row>
    <row r="7" spans="1:52" x14ac:dyDescent="0.35">
      <c r="A7" s="153" t="s">
        <v>253</v>
      </c>
      <c r="B7" s="152"/>
      <c r="C7" s="152"/>
      <c r="D7" s="152"/>
      <c r="E7" s="152"/>
      <c r="F7" s="152"/>
      <c r="G7" s="152"/>
      <c r="H7" s="152"/>
    </row>
    <row r="8" spans="1:52" x14ac:dyDescent="0.35">
      <c r="A8" s="5" t="s">
        <v>204</v>
      </c>
    </row>
    <row r="9" spans="1:52" ht="15" thickBot="1" x14ac:dyDescent="0.4">
      <c r="A9" s="97" t="s">
        <v>249</v>
      </c>
    </row>
    <row r="10" spans="1:52" x14ac:dyDescent="0.35">
      <c r="A10" s="107" t="s">
        <v>4</v>
      </c>
      <c r="B10" s="108" t="s">
        <v>14</v>
      </c>
      <c r="E10" s="10"/>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35">
      <c r="A11" s="6">
        <f>'Project Information'!$B$9</f>
        <v>2033</v>
      </c>
      <c r="B11" s="164">
        <f>('User Volumes'!G10*$G$33)+('User Volumes'!I10*$G$41)</f>
        <v>533420.53380000009</v>
      </c>
      <c r="E11" s="13"/>
      <c r="F11"/>
      <c r="G11"/>
      <c r="H11"/>
      <c r="I11"/>
      <c r="J11"/>
      <c r="K11" s="199"/>
      <c r="L11" s="199"/>
      <c r="M11" s="199"/>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2034</v>
      </c>
      <c r="B12" s="164">
        <f>('User Volumes'!G11*$G$33)+('User Volumes'!I11*$G$41)</f>
        <v>534487.37486760016</v>
      </c>
      <c r="E12" s="13"/>
      <c r="F12" s="218" t="s">
        <v>447</v>
      </c>
      <c r="G12" s="219"/>
      <c r="H12" s="219"/>
      <c r="I12"/>
      <c r="J12"/>
      <c r="K12" s="199"/>
      <c r="L12" s="199"/>
      <c r="M12" s="199"/>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2035</v>
      </c>
      <c r="B13" s="164">
        <f>('User Volumes'!G12*$G$33)+('User Volumes'!I12*$G$41)</f>
        <v>535556.34961733525</v>
      </c>
      <c r="E13" s="13"/>
      <c r="F13"/>
      <c r="G13"/>
      <c r="H13"/>
      <c r="I13"/>
      <c r="J13"/>
      <c r="K13" s="199"/>
      <c r="L13" s="199"/>
      <c r="M13" s="199"/>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2036</v>
      </c>
      <c r="B14" s="164">
        <f>('User Volumes'!G13*$G$33)+('User Volumes'!I13*$G$41)</f>
        <v>536627.46231656999</v>
      </c>
      <c r="E14" s="13"/>
      <c r="F14" s="209" t="s">
        <v>383</v>
      </c>
      <c r="G14" s="210"/>
      <c r="H14" s="210"/>
      <c r="I14"/>
      <c r="J14"/>
      <c r="K14" s="199"/>
      <c r="L14" s="199"/>
      <c r="M14" s="199"/>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2037</v>
      </c>
      <c r="B15" s="164">
        <f>('User Volumes'!G14*$G$33)+('User Volumes'!I14*$G$41)</f>
        <v>537700.71724120306</v>
      </c>
      <c r="E15" s="13"/>
      <c r="F15" s="203" t="s">
        <v>376</v>
      </c>
      <c r="G15" s="199"/>
      <c r="H15"/>
      <c r="I15"/>
      <c r="J15"/>
      <c r="K15" s="199"/>
      <c r="L15" s="199"/>
      <c r="M15" s="199"/>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2038</v>
      </c>
      <c r="B16" s="164">
        <f>('User Volumes'!G15*$G$33)+('User Volumes'!I15*$G$41)</f>
        <v>538776.11867568549</v>
      </c>
      <c r="E16" s="13"/>
      <c r="F16" t="s">
        <v>440</v>
      </c>
      <c r="G16" s="264">
        <v>1</v>
      </c>
      <c r="H16" t="s">
        <v>475</v>
      </c>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2039</v>
      </c>
      <c r="B17" s="164">
        <f>('User Volumes'!G16*$G$33)+('User Volumes'!I16*$G$41)</f>
        <v>539853.6709130368</v>
      </c>
      <c r="E17" s="13"/>
      <c r="F17" t="s">
        <v>375</v>
      </c>
      <c r="G17" s="200">
        <f>'Parameter Values'!B139</f>
        <v>0.11</v>
      </c>
      <c r="H17" t="s">
        <v>419</v>
      </c>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2040</v>
      </c>
      <c r="B18" s="164">
        <f>('User Volumes'!G17*$G$33)+('User Volumes'!I17*$G$41)</f>
        <v>540933.37825486297</v>
      </c>
      <c r="E18" s="13"/>
      <c r="F18" t="s">
        <v>378</v>
      </c>
      <c r="G18" s="201">
        <f>Inputs!E29</f>
        <v>0.86</v>
      </c>
      <c r="H18" t="s">
        <v>401</v>
      </c>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2041</v>
      </c>
      <c r="B19" s="164">
        <f>('User Volumes'!G18*$G$33)+('User Volumes'!I18*$G$41)</f>
        <v>542015.24501137261</v>
      </c>
      <c r="E19" s="13"/>
      <c r="F19" t="s">
        <v>441</v>
      </c>
      <c r="G19" s="200">
        <f>G16*G17*G18</f>
        <v>9.4600000000000004E-2</v>
      </c>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2042</v>
      </c>
      <c r="B20" s="164">
        <f>('User Volumes'!G19*$G$33)+('User Volumes'!I19*$G$41)</f>
        <v>543099.27550139534</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2043</v>
      </c>
      <c r="B21" s="164">
        <f>('User Volumes'!G20*$G$33)+('User Volumes'!I20*$G$41)</f>
        <v>544185.47405239812</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2044</v>
      </c>
      <c r="B22" s="164">
        <f>('User Volumes'!G21*$G$33)+('User Volumes'!I21*$G$41)</f>
        <v>545273.84500050289</v>
      </c>
      <c r="E22" s="13"/>
      <c r="F22" s="203" t="s">
        <v>381</v>
      </c>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2045</v>
      </c>
      <c r="B23" s="164">
        <f>('User Volumes'!G22*$G$33)+('User Volumes'!I22*$G$41)</f>
        <v>546364.39269050397</v>
      </c>
      <c r="E23" s="13"/>
      <c r="F23" t="s">
        <v>379</v>
      </c>
      <c r="G23" s="263">
        <f>Inputs!E15-Inputs!D15</f>
        <v>9</v>
      </c>
      <c r="H23" t="s">
        <v>420</v>
      </c>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2046</v>
      </c>
      <c r="B24" s="164">
        <f>('User Volumes'!G23*$G$33)+('User Volumes'!I23*$G$41)</f>
        <v>547457.12147588492</v>
      </c>
      <c r="E24" s="13"/>
      <c r="F24" s="200" t="str">
        <f>'Parameter Values'!A145</f>
        <v>Install Marked-Crosswalk on Roadway with Volumes ≥10,000 Vehicle per Day</v>
      </c>
      <c r="G24" s="200">
        <f>'Parameter Values'!B145</f>
        <v>0.21</v>
      </c>
      <c r="H24" t="s">
        <v>419</v>
      </c>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2047</v>
      </c>
      <c r="B25" s="164">
        <f>('User Volumes'!G24*$G$33)+('User Volumes'!I24*$G$41)</f>
        <v>548552.03571883682</v>
      </c>
      <c r="E25" s="13"/>
      <c r="F25" t="s">
        <v>441</v>
      </c>
      <c r="G25" s="200">
        <f>G23*G24</f>
        <v>1.89</v>
      </c>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2048</v>
      </c>
      <c r="B26" s="164">
        <f>('User Volumes'!G25*$G$33)+('User Volumes'!I25*$G$41)</f>
        <v>549649.13979027444</v>
      </c>
      <c r="E26" s="13"/>
      <c r="F26" s="198"/>
      <c r="G26" s="199"/>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2049</v>
      </c>
      <c r="B27" s="164">
        <f>('User Volumes'!G26*$G$33)+('User Volumes'!I26*$G$41)</f>
        <v>550748.43806985486</v>
      </c>
      <c r="E27" s="13"/>
      <c r="F27" s="198"/>
      <c r="G27" s="199"/>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2050</v>
      </c>
      <c r="B28" s="164">
        <f>('User Volumes'!G27*$G$33)+('User Volumes'!I27*$G$41)</f>
        <v>551849.93494599464</v>
      </c>
      <c r="E28" s="13"/>
      <c r="F28" s="203" t="s">
        <v>382</v>
      </c>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2051</v>
      </c>
      <c r="B29" s="164">
        <f>('User Volumes'!G28*$G$33)+('User Volumes'!I28*$G$41)</f>
        <v>552953.63481588662</v>
      </c>
      <c r="E29" s="13"/>
      <c r="F29" t="s">
        <v>380</v>
      </c>
      <c r="G29" s="263">
        <v>2</v>
      </c>
      <c r="H29" t="s">
        <v>420</v>
      </c>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2052</v>
      </c>
      <c r="B30" s="164">
        <f>('User Volumes'!G29*$G$33)+('User Volumes'!I29*$G$41)</f>
        <v>554059.54208551836</v>
      </c>
      <c r="E30" s="13"/>
      <c r="F30" t="str">
        <f>'Parameter Values'!A146</f>
        <v>Install Signal for Pedestrian Crossing on Roadway with Volumes ≥13,000 Vehicles per Day</v>
      </c>
      <c r="G30" s="200">
        <f>'Parameter Values'!B146</f>
        <v>0.55000000000000004</v>
      </c>
      <c r="H30" t="s">
        <v>419</v>
      </c>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t="s">
        <v>441</v>
      </c>
      <c r="G31" s="200">
        <f>G29*G30</f>
        <v>1.1000000000000001</v>
      </c>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s="198"/>
      <c r="G32" s="199"/>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s="207" t="s">
        <v>385</v>
      </c>
      <c r="G33" s="208">
        <f>G19+G25+G31</f>
        <v>3.0846</v>
      </c>
      <c r="H33" s="58"/>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s="209" t="s">
        <v>384</v>
      </c>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s="204" t="s">
        <v>377</v>
      </c>
      <c r="G36" s="211"/>
      <c r="H36" s="58"/>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t="s">
        <v>374</v>
      </c>
      <c r="G37" s="200">
        <f>'Parameter Values'!B153</f>
        <v>1.7</v>
      </c>
      <c r="H37" t="s">
        <v>419</v>
      </c>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t="s">
        <v>387</v>
      </c>
      <c r="G38" s="201">
        <f>Inputs!E30</f>
        <v>2.38</v>
      </c>
      <c r="H38" t="s">
        <v>402</v>
      </c>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t="s">
        <v>441</v>
      </c>
      <c r="G39" s="200">
        <f>G37*G38</f>
        <v>4.0459999999999994</v>
      </c>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2" t="str">
        <f>IF(A39&lt;'Project Information'!B$11,A39+1,"")</f>
        <v/>
      </c>
      <c r="B40" s="120">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s="207" t="s">
        <v>386</v>
      </c>
      <c r="G41" s="208">
        <f>G39</f>
        <v>4.0459999999999994</v>
      </c>
      <c r="H41" s="58"/>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 thickBot="1" x14ac:dyDescent="0.4">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8" priority="1">
      <formula>A11=""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topLeftCell="A7" zoomScale="59" workbookViewId="0">
      <selection activeCell="B15" sqref="B15"/>
    </sheetView>
  </sheetViews>
  <sheetFormatPr defaultColWidth="9.1796875" defaultRowHeight="14.5" x14ac:dyDescent="0.35"/>
  <cols>
    <col min="1" max="1" width="27.26953125" style="5" customWidth="1"/>
    <col min="2" max="2" width="40.7265625" style="5" customWidth="1"/>
    <col min="3" max="3" width="24.453125" style="5" customWidth="1"/>
    <col min="4" max="16384" width="9.1796875" style="5"/>
  </cols>
  <sheetData>
    <row r="1" spans="1:52" ht="20" thickBot="1" x14ac:dyDescent="0.5">
      <c r="A1" s="96" t="s">
        <v>13</v>
      </c>
    </row>
    <row r="2" spans="1:52" ht="15" thickTop="1" x14ac:dyDescent="0.35">
      <c r="A2" s="152" t="s">
        <v>244</v>
      </c>
      <c r="B2" s="152"/>
      <c r="C2" s="152"/>
      <c r="D2" s="152"/>
      <c r="E2" s="152"/>
      <c r="F2" s="152"/>
      <c r="G2" s="152"/>
      <c r="H2" s="152"/>
    </row>
    <row r="3" spans="1:52" x14ac:dyDescent="0.35">
      <c r="A3" s="5" t="s">
        <v>204</v>
      </c>
    </row>
    <row r="4" spans="1:52" x14ac:dyDescent="0.35">
      <c r="A4" s="153" t="s">
        <v>356</v>
      </c>
      <c r="B4" s="152"/>
      <c r="C4" s="152"/>
      <c r="D4" s="152"/>
      <c r="E4" s="152"/>
      <c r="F4" s="152"/>
      <c r="G4" s="152"/>
      <c r="H4" s="152"/>
      <c r="I4" s="152"/>
      <c r="J4" s="152"/>
      <c r="K4" s="152"/>
    </row>
    <row r="5" spans="1:52" x14ac:dyDescent="0.35">
      <c r="A5" s="38" t="s">
        <v>204</v>
      </c>
    </row>
    <row r="6" spans="1:52" x14ac:dyDescent="0.35">
      <c r="A6" s="97" t="s">
        <v>245</v>
      </c>
    </row>
    <row r="7" spans="1:52" ht="29" x14ac:dyDescent="0.35">
      <c r="A7" s="117" t="s">
        <v>135</v>
      </c>
      <c r="B7" s="117" t="s">
        <v>196</v>
      </c>
      <c r="C7" s="118" t="s">
        <v>359</v>
      </c>
    </row>
    <row r="8" spans="1:52" x14ac:dyDescent="0.35">
      <c r="A8" s="43" t="s">
        <v>197</v>
      </c>
      <c r="B8" s="43" t="str">
        <f>'Parameter Values'!B220</f>
        <v>Ages 20-74</v>
      </c>
      <c r="C8" s="44">
        <f>'Parameter Values'!C220</f>
        <v>8.06</v>
      </c>
    </row>
    <row r="9" spans="1:52" x14ac:dyDescent="0.35">
      <c r="A9" s="43" t="s">
        <v>198</v>
      </c>
      <c r="B9" s="43" t="str">
        <f>'Parameter Values'!B221</f>
        <v>Ages 20-64</v>
      </c>
      <c r="C9" s="44">
        <f>'Parameter Values'!C221</f>
        <v>7.18</v>
      </c>
    </row>
    <row r="10" spans="1:52" x14ac:dyDescent="0.35">
      <c r="A10" s="152"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52" x14ac:dyDescent="0.35">
      <c r="A11" s="152"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row>
    <row r="12" spans="1:52" x14ac:dyDescent="0.35">
      <c r="A12" s="38" t="s">
        <v>204</v>
      </c>
    </row>
    <row r="13" spans="1:52" ht="15" thickBot="1" x14ac:dyDescent="0.4">
      <c r="A13" s="97" t="s">
        <v>250</v>
      </c>
    </row>
    <row r="14" spans="1:52" x14ac:dyDescent="0.35">
      <c r="A14" s="107" t="s">
        <v>4</v>
      </c>
      <c r="B14" s="108" t="s">
        <v>13</v>
      </c>
      <c r="E14" s="10" t="s">
        <v>161</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35">
      <c r="A15" s="6">
        <f>'Project Information'!$B$9</f>
        <v>2033</v>
      </c>
      <c r="B15" s="164">
        <f>(('User Volumes'!G10-'User Volumes'!F10)*$C$8)+(('User Volumes'!I10-'User Volumes'!H10)*$C$9)</f>
        <v>64143.640000000247</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2034</v>
      </c>
      <c r="B16" s="164">
        <f>(('User Volumes'!G11-'User Volumes'!F11)*$C$8)+(('User Volumes'!I11-'User Volumes'!H11)*$C$9)</f>
        <v>64271.92728000012</v>
      </c>
      <c r="E16" s="13"/>
      <c r="F16" s="218" t="s">
        <v>442</v>
      </c>
      <c r="G16" s="219"/>
      <c r="H16" s="219"/>
      <c r="I16" s="219"/>
      <c r="J16" s="219"/>
      <c r="K16" s="219"/>
      <c r="L16" s="219"/>
      <c r="M16" s="219"/>
      <c r="N16" s="219"/>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2035</v>
      </c>
      <c r="B17" s="164">
        <f>(('User Volumes'!G12-'User Volumes'!F12)*$C$8)+(('User Volumes'!I12-'User Volumes'!H12)*$C$9)</f>
        <v>64400.471134560001</v>
      </c>
      <c r="E17" s="13"/>
      <c r="F17" s="178"/>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2036</v>
      </c>
      <c r="B18" s="164">
        <f>(('User Volumes'!G13-'User Volumes'!F13)*$C$8)+(('User Volumes'!I13-'User Volumes'!H13)*$C$9)</f>
        <v>64529.272076829053</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2037</v>
      </c>
      <c r="B19" s="164">
        <f>(('User Volumes'!G14-'User Volumes'!F14)*$C$8)+(('User Volumes'!I14-'User Volumes'!H14)*$C$9)</f>
        <v>64658.330620982684</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2038</v>
      </c>
      <c r="B20" s="164">
        <f>(('User Volumes'!G15-'User Volumes'!F15)*$C$8)+(('User Volumes'!I15-'User Volumes'!H15)*$C$9)</f>
        <v>64787.64728222449</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2039</v>
      </c>
      <c r="B21" s="164">
        <f>(('User Volumes'!G16-'User Volumes'!F16)*$C$8)+(('User Volumes'!I16-'User Volumes'!H16)*$C$9)</f>
        <v>64917.222576788845</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2040</v>
      </c>
      <c r="B22" s="164">
        <f>(('User Volumes'!G17-'User Volumes'!F17)*$C$8)+(('User Volumes'!I17-'User Volumes'!H17)*$C$9)</f>
        <v>65047.057021942419</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2041</v>
      </c>
      <c r="B23" s="164">
        <f>(('User Volumes'!G18-'User Volumes'!F18)*$C$8)+(('User Volumes'!I18-'User Volumes'!H18)*$C$9)</f>
        <v>65177.151135986205</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2042</v>
      </c>
      <c r="B24" s="164">
        <f>(('User Volumes'!G19-'User Volumes'!F19)*$C$8)+(('User Volumes'!I19-'User Volumes'!H19)*$C$9)</f>
        <v>65307.505438258246</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2043</v>
      </c>
      <c r="B25" s="164">
        <f>(('User Volumes'!G20-'User Volumes'!F20)*$C$8)+(('User Volumes'!I20-'User Volumes'!H20)*$C$9)</f>
        <v>65438.12044913476</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2044</v>
      </c>
      <c r="B26" s="164">
        <f>(('User Volumes'!G21-'User Volumes'!F21)*$C$8)+(('User Volumes'!I21-'User Volumes'!H21)*$C$9)</f>
        <v>65568.996690032844</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2045</v>
      </c>
      <c r="B27" s="164">
        <f>(('User Volumes'!G22-'User Volumes'!F22)*$C$8)+(('User Volumes'!I22-'User Volumes'!H22)*$C$9)</f>
        <v>65700.134683412951</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2046</v>
      </c>
      <c r="B28" s="164">
        <f>(('User Volumes'!G23-'User Volumes'!F23)*$C$8)+(('User Volumes'!I23-'User Volumes'!H23)*$C$9)</f>
        <v>65831.53495277981</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2047</v>
      </c>
      <c r="B29" s="164">
        <f>(('User Volumes'!G24-'User Volumes'!F24)*$C$8)+(('User Volumes'!I24-'User Volumes'!H24)*$C$9)</f>
        <v>65963.198022685363</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2048</v>
      </c>
      <c r="B30" s="164">
        <f>(('User Volumes'!G25-'User Volumes'!F25)*$C$8)+(('User Volumes'!I25-'User Volumes'!H25)*$C$9)</f>
        <v>66095.124418730731</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2049</v>
      </c>
      <c r="B31" s="164">
        <f>(('User Volumes'!G26-'User Volumes'!F26)*$C$8)+(('User Volumes'!I26-'User Volumes'!H26)*$C$9)</f>
        <v>66227.314667568149</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f>IF(A31&lt;'Project Information'!B$11,A31+1,"")</f>
        <v>2050</v>
      </c>
      <c r="B32" s="164">
        <f>(('User Volumes'!G27-'User Volumes'!F27)*$C$8)+(('User Volumes'!I27-'User Volumes'!H27)*$C$9)</f>
        <v>66359.769296903352</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f>IF(A32&lt;'Project Information'!B$11,A32+1,"")</f>
        <v>2051</v>
      </c>
      <c r="B33" s="164">
        <f>(('User Volumes'!G28-'User Volumes'!F28)*$C$8)+(('User Volumes'!I28-'User Volumes'!H28)*$C$9)</f>
        <v>66492.488835497177</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f>IF(A33&lt;'Project Information'!B$11,A33+1,"")</f>
        <v>2052</v>
      </c>
      <c r="B34" s="164">
        <f>(('User Volumes'!G29-'User Volumes'!F29)*$C$8)+(('User Volumes'!I29-'User Volumes'!H29)*$C$9)</f>
        <v>66625.47381316805</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1" t="str">
        <f>IF(A40&lt;'Project Information'!B$11,A40+1,"")</f>
        <v/>
      </c>
      <c r="B41" s="164">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A42" s="1" t="str">
        <f>IF(A41&lt;'Project Information'!B$11,A41+1,"")</f>
        <v/>
      </c>
      <c r="B42" s="164">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A43" s="1" t="str">
        <f>IF(A42&lt;'Project Information'!B$11,A42+1,"")</f>
        <v/>
      </c>
      <c r="B43" s="164">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A44" s="2" t="str">
        <f>IF(A43&lt;'Project Information'!B$11,A43+1,"")</f>
        <v/>
      </c>
      <c r="B44" s="120">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 thickBot="1" x14ac:dyDescent="0.4">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7" priority="1">
      <formula>A15=""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zoomScale="63" zoomScaleNormal="85" workbookViewId="0"/>
  </sheetViews>
  <sheetFormatPr defaultColWidth="9.1796875" defaultRowHeight="14.5" x14ac:dyDescent="0.35"/>
  <cols>
    <col min="1" max="1" width="32.54296875" style="5" customWidth="1"/>
    <col min="2" max="2" width="30.26953125" style="5" customWidth="1"/>
    <col min="3" max="3" width="23.81640625" style="5" customWidth="1"/>
    <col min="4" max="4" width="25.453125" style="5" customWidth="1"/>
    <col min="5" max="5" width="31" style="5" customWidth="1"/>
    <col min="6" max="6" width="27.81640625" style="5" customWidth="1"/>
    <col min="7" max="7" width="27.453125" style="5" customWidth="1"/>
    <col min="8" max="8" width="28.7265625" style="5" customWidth="1"/>
    <col min="9" max="9" width="30.81640625" style="5" customWidth="1"/>
    <col min="10" max="10" width="30.26953125" style="5" customWidth="1"/>
    <col min="11" max="11" width="26.453125" style="5" customWidth="1"/>
    <col min="12" max="12" width="21.1796875" style="5" customWidth="1"/>
    <col min="13" max="13" width="19.453125" style="5" customWidth="1"/>
    <col min="14" max="14" width="21" style="5" customWidth="1"/>
    <col min="15" max="15" width="19" style="5" customWidth="1"/>
    <col min="16" max="16" width="19.453125" style="5" customWidth="1"/>
    <col min="17" max="17" width="25.7265625" style="5" customWidth="1"/>
    <col min="18" max="18" width="18.1796875" style="5" customWidth="1"/>
    <col min="19" max="19" width="11" style="5" customWidth="1"/>
    <col min="20" max="20" width="19.81640625" style="5" customWidth="1"/>
    <col min="21" max="21" width="25.1796875" style="5" customWidth="1"/>
    <col min="22" max="16384" width="9.1796875" style="5"/>
  </cols>
  <sheetData>
    <row r="1" spans="1:17" ht="20" thickBot="1" x14ac:dyDescent="0.5">
      <c r="A1" s="96" t="s">
        <v>220</v>
      </c>
    </row>
    <row r="2" spans="1:17" ht="15" thickTop="1" x14ac:dyDescent="0.35">
      <c r="A2" s="152" t="s">
        <v>162</v>
      </c>
      <c r="B2" s="152"/>
      <c r="C2" s="152"/>
      <c r="D2" s="152"/>
      <c r="E2" s="152"/>
      <c r="F2" s="152"/>
      <c r="G2" s="152"/>
      <c r="H2" s="152"/>
      <c r="I2" s="152"/>
      <c r="J2" s="152"/>
    </row>
    <row r="3" spans="1:17" x14ac:dyDescent="0.35">
      <c r="A3" s="5" t="s">
        <v>204</v>
      </c>
    </row>
    <row r="4" spans="1:17" x14ac:dyDescent="0.35">
      <c r="A4" s="97" t="s">
        <v>242</v>
      </c>
    </row>
    <row r="5" spans="1:17" x14ac:dyDescent="0.35">
      <c r="A5" s="110" t="s">
        <v>4</v>
      </c>
      <c r="B5" s="113" t="s">
        <v>7</v>
      </c>
      <c r="C5" s="113" t="s">
        <v>8</v>
      </c>
      <c r="D5" s="113" t="s">
        <v>9</v>
      </c>
      <c r="E5" s="113" t="s">
        <v>10</v>
      </c>
      <c r="F5" s="113" t="s">
        <v>11</v>
      </c>
      <c r="G5" s="113" t="s">
        <v>12</v>
      </c>
      <c r="H5" s="113" t="s">
        <v>262</v>
      </c>
      <c r="I5" s="113" t="s">
        <v>14</v>
      </c>
      <c r="J5" s="113" t="s">
        <v>13</v>
      </c>
      <c r="K5" s="113" t="s">
        <v>20</v>
      </c>
      <c r="L5" s="113" t="str">
        <f>'Other Benefit 1'!B7</f>
        <v>Other Benefit 1</v>
      </c>
      <c r="M5" s="113" t="str">
        <f>'Other Benefit 2'!B7</f>
        <v>Other Benefit 2</v>
      </c>
      <c r="N5" s="113" t="str">
        <f>'Other Benefit 3'!B7</f>
        <v>Other Benefit 3</v>
      </c>
      <c r="O5" s="113" t="str">
        <f>'Other Benefit 4'!B11</f>
        <v>Other Benefit 4</v>
      </c>
      <c r="P5" s="113" t="s">
        <v>19</v>
      </c>
      <c r="Q5" s="107" t="s">
        <v>0</v>
      </c>
    </row>
    <row r="6" spans="1:17" x14ac:dyDescent="0.35">
      <c r="A6" s="6">
        <f>'Project Information'!$B$9</f>
        <v>2033</v>
      </c>
      <c r="B6" s="7">
        <f>'Operations and Maintenance'!D8</f>
        <v>-346084.01</v>
      </c>
      <c r="C6" s="7">
        <f>Safety!D22</f>
        <v>3294541.6666666679</v>
      </c>
      <c r="D6" s="7">
        <f>'Travel Time Savings'!D20</f>
        <v>246745.05785714294</v>
      </c>
      <c r="E6" s="7">
        <f>'Vehicle Operating Cost Savings'!D26</f>
        <v>33542.040000000008</v>
      </c>
      <c r="F6" s="21">
        <f>'Emissions Reduction'!S33</f>
        <v>898.44749999999976</v>
      </c>
      <c r="G6" s="21">
        <f>'Emissions Reduction'!T33</f>
        <v>7966.2344999999987</v>
      </c>
      <c r="H6" s="21">
        <f>'Other Highway Use Externalities'!B20</f>
        <v>0</v>
      </c>
      <c r="I6" s="7">
        <f>'Amenity Benefits'!B11</f>
        <v>533420.53380000009</v>
      </c>
      <c r="J6" s="7">
        <f>'Health Benefits'!B15</f>
        <v>64143.640000000247</v>
      </c>
      <c r="K6" s="7">
        <f>'Residual Value'!B23</f>
        <v>0</v>
      </c>
      <c r="L6" s="7">
        <f>'Other Benefit 1'!B8</f>
        <v>0</v>
      </c>
      <c r="M6" s="7">
        <f>'Other Benefit 2'!B8</f>
        <v>0</v>
      </c>
      <c r="N6" s="7">
        <f>'Other Benefit 3'!B8</f>
        <v>0</v>
      </c>
      <c r="O6" s="7">
        <f>'Other Benefit 4'!B12</f>
        <v>0</v>
      </c>
      <c r="P6" s="157">
        <f>SUM(C6:O6)-B6</f>
        <v>4527341.6303238105</v>
      </c>
      <c r="Q6" s="8">
        <f>IFERROR(((P6-G6)/(1.031)^(A6-Overview!$B$22))+((G6)/(1.02)^(A6-Overview!$B$22)),0)</f>
        <v>3336899.5526957815</v>
      </c>
    </row>
    <row r="7" spans="1:17" x14ac:dyDescent="0.35">
      <c r="A7" s="1">
        <f>IF(A6&lt;'Project Information'!B$11,A6+1,"")</f>
        <v>2034</v>
      </c>
      <c r="B7" s="7">
        <f>'Operations and Maintenance'!D9</f>
        <v>-536916.53029999998</v>
      </c>
      <c r="C7" s="7">
        <f>Safety!D23</f>
        <v>3301130.7500000019</v>
      </c>
      <c r="D7" s="7">
        <f>'Travel Time Savings'!D21</f>
        <v>247238.5479728572</v>
      </c>
      <c r="E7" s="7">
        <f>'Vehicle Operating Cost Savings'!D27</f>
        <v>33609.124080000009</v>
      </c>
      <c r="F7" s="21">
        <f>'Emissions Reduction'!S34</f>
        <v>900.24439500000017</v>
      </c>
      <c r="G7" s="21">
        <f>'Emissions Reduction'!T34</f>
        <v>7982.1669690000053</v>
      </c>
      <c r="H7" s="21">
        <f>'Other Highway Use Externalities'!B21</f>
        <v>0</v>
      </c>
      <c r="I7" s="7">
        <f>'Amenity Benefits'!B12</f>
        <v>534487.37486760016</v>
      </c>
      <c r="J7" s="7">
        <f>'Health Benefits'!B16</f>
        <v>64271.92728000012</v>
      </c>
      <c r="K7" s="7">
        <f>'Residual Value'!B24</f>
        <v>0</v>
      </c>
      <c r="L7" s="7">
        <f>'Other Benefit 1'!B9</f>
        <v>0</v>
      </c>
      <c r="M7" s="7">
        <f>'Other Benefit 2'!B9</f>
        <v>0</v>
      </c>
      <c r="N7" s="7">
        <f>'Other Benefit 3'!B9</f>
        <v>0</v>
      </c>
      <c r="O7" s="7">
        <f>'Other Benefit 4'!B13</f>
        <v>0</v>
      </c>
      <c r="P7" s="157">
        <f t="shared" ref="P7:P35" si="0">SUM(C7:O7)-B7</f>
        <v>4726536.6658644592</v>
      </c>
      <c r="Q7" s="8">
        <f>IFERROR(((P7-G7)/(1.031)^(A7-Overview!$B$22))+((G7)/(1.02)^(A7-Overview!$B$22)),0)</f>
        <v>3379010.6114142509</v>
      </c>
    </row>
    <row r="8" spans="1:17" x14ac:dyDescent="0.35">
      <c r="A8" s="1">
        <f>IF(A7&lt;'Project Information'!B$11,A7+1,"")</f>
        <v>2035</v>
      </c>
      <c r="B8" s="7">
        <f>'Operations and Maintenance'!D10</f>
        <v>-765099.02620900003</v>
      </c>
      <c r="C8" s="7">
        <f>Safety!D24</f>
        <v>3307733.011500001</v>
      </c>
      <c r="D8" s="7">
        <f>'Travel Time Savings'!D22</f>
        <v>247733.02506880293</v>
      </c>
      <c r="E8" s="7">
        <f>'Vehicle Operating Cost Savings'!D28</f>
        <v>33676.342328159997</v>
      </c>
      <c r="F8" s="21">
        <f>'Emissions Reduction'!S35</f>
        <v>902.04488379000009</v>
      </c>
      <c r="G8" s="21">
        <f>'Emissions Reduction'!T35</f>
        <v>7998.1313029380035</v>
      </c>
      <c r="H8" s="21">
        <f>'Other Highway Use Externalities'!B22</f>
        <v>0</v>
      </c>
      <c r="I8" s="7">
        <f>'Amenity Benefits'!B13</f>
        <v>535556.34961733525</v>
      </c>
      <c r="J8" s="7">
        <f>'Health Benefits'!B17</f>
        <v>64400.471134560001</v>
      </c>
      <c r="K8" s="7">
        <f>'Residual Value'!B25</f>
        <v>0</v>
      </c>
      <c r="L8" s="7">
        <f>'Other Benefit 1'!B10</f>
        <v>0</v>
      </c>
      <c r="M8" s="7">
        <f>'Other Benefit 2'!B10</f>
        <v>0</v>
      </c>
      <c r="N8" s="7">
        <f>'Other Benefit 3'!B10</f>
        <v>0</v>
      </c>
      <c r="O8" s="7">
        <f>'Other Benefit 4'!B14</f>
        <v>0</v>
      </c>
      <c r="P8" s="157">
        <f t="shared" si="0"/>
        <v>4963098.4020445868</v>
      </c>
      <c r="Q8" s="8">
        <f>IFERROR(((P8-G8)/(1.031)^(A8-Overview!$B$22))+((G8)/(1.02)^(A8-Overview!$B$22)),0)</f>
        <v>3441478.2872516168</v>
      </c>
    </row>
    <row r="9" spans="1:17" x14ac:dyDescent="0.35">
      <c r="A9" s="1">
        <f>IF(A8&lt;'Project Information'!B$11,A8+1,"")</f>
        <v>2036</v>
      </c>
      <c r="B9" s="7">
        <f>'Operations and Maintenance'!D11</f>
        <v>-374566.24699526996</v>
      </c>
      <c r="C9" s="7">
        <f>Safety!D25</f>
        <v>3314348.4775230018</v>
      </c>
      <c r="D9" s="7">
        <f>'Travel Time Savings'!D23</f>
        <v>248228.49111894052</v>
      </c>
      <c r="E9" s="7">
        <f>'Vehicle Operating Cost Savings'!D29</f>
        <v>33743.695012816344</v>
      </c>
      <c r="F9" s="21">
        <f>'Emissions Reduction'!S36</f>
        <v>903.84897355758017</v>
      </c>
      <c r="G9" s="21">
        <f>'Emissions Reduction'!T36</f>
        <v>8014.1275655438803</v>
      </c>
      <c r="H9" s="21">
        <f>'Other Highway Use Externalities'!B23</f>
        <v>0</v>
      </c>
      <c r="I9" s="7">
        <f>'Amenity Benefits'!B14</f>
        <v>536627.46231656999</v>
      </c>
      <c r="J9" s="7">
        <f>'Health Benefits'!B18</f>
        <v>64529.272076829053</v>
      </c>
      <c r="K9" s="7">
        <f>'Residual Value'!B26</f>
        <v>0</v>
      </c>
      <c r="L9" s="7">
        <f>'Other Benefit 1'!B11</f>
        <v>0</v>
      </c>
      <c r="M9" s="7">
        <f>'Other Benefit 2'!B11</f>
        <v>0</v>
      </c>
      <c r="N9" s="7">
        <f>'Other Benefit 3'!B11</f>
        <v>0</v>
      </c>
      <c r="O9" s="7">
        <f>'Other Benefit 4'!B15</f>
        <v>0</v>
      </c>
      <c r="P9" s="157">
        <f t="shared" si="0"/>
        <v>4580961.6215825295</v>
      </c>
      <c r="Q9" s="8">
        <f>IFERROR(((P9-G9)/(1.031)^(A9-Overview!$B$22))+((G9)/(1.02)^(A9-Overview!$B$22)),0)</f>
        <v>3081113.3755542869</v>
      </c>
    </row>
    <row r="10" spans="1:17" x14ac:dyDescent="0.35">
      <c r="A10" s="1">
        <f>IF(A9&lt;'Project Information'!B$11,A9+1,"")</f>
        <v>2037</v>
      </c>
      <c r="B10" s="7">
        <f>'Operations and Maintenance'!D12</f>
        <v>-386403.23440512805</v>
      </c>
      <c r="C10" s="7">
        <f>Safety!D26</f>
        <v>3320977.1744780475</v>
      </c>
      <c r="D10" s="7">
        <f>'Travel Time Savings'!D24</f>
        <v>248724.94810117839</v>
      </c>
      <c r="E10" s="7">
        <f>'Vehicle Operating Cost Savings'!D30</f>
        <v>33811.182402841965</v>
      </c>
      <c r="F10" s="21">
        <f>'Emissions Reduction'!S37</f>
        <v>905.65667150469517</v>
      </c>
      <c r="G10" s="21">
        <f>'Emissions Reduction'!T37</f>
        <v>8030.1558206749669</v>
      </c>
      <c r="H10" s="21">
        <f>'Other Highway Use Externalities'!B24</f>
        <v>0</v>
      </c>
      <c r="I10" s="7">
        <f>'Amenity Benefits'!B15</f>
        <v>537700.71724120306</v>
      </c>
      <c r="J10" s="7">
        <f>'Health Benefits'!B19</f>
        <v>64658.330620982684</v>
      </c>
      <c r="K10" s="7">
        <f>'Residual Value'!B27</f>
        <v>0</v>
      </c>
      <c r="L10" s="7">
        <f>'Other Benefit 1'!B12</f>
        <v>0</v>
      </c>
      <c r="M10" s="7">
        <f>'Other Benefit 2'!B12</f>
        <v>0</v>
      </c>
      <c r="N10" s="7">
        <f>'Other Benefit 3'!B12</f>
        <v>0</v>
      </c>
      <c r="O10" s="7">
        <f>'Other Benefit 4'!B16</f>
        <v>0</v>
      </c>
      <c r="P10" s="157">
        <f t="shared" si="0"/>
        <v>4601211.3997415612</v>
      </c>
      <c r="Q10" s="8">
        <f>IFERROR(((P10-G10)/(1.031)^(A10-Overview!$B$22))+((G10)/(1.02)^(A10-Overview!$B$22)),0)</f>
        <v>3001744.1182866609</v>
      </c>
    </row>
    <row r="11" spans="1:17" x14ac:dyDescent="0.35">
      <c r="A11" s="1">
        <f>IF(A10&lt;'Project Information'!B$11,A10+1,"")</f>
        <v>2038</v>
      </c>
      <c r="B11" s="7">
        <f>'Operations and Maintenance'!D13</f>
        <v>-398595.33143728191</v>
      </c>
      <c r="C11" s="7">
        <f>Safety!D27</f>
        <v>3327619.1288270028</v>
      </c>
      <c r="D11" s="7">
        <f>'Travel Time Savings'!D25</f>
        <v>249222.39799738073</v>
      </c>
      <c r="E11" s="7">
        <f>'Vehicle Operating Cost Savings'!D31</f>
        <v>33878.804767647642</v>
      </c>
      <c r="F11" s="21">
        <f>'Emissions Reduction'!S38</f>
        <v>907.46798484770443</v>
      </c>
      <c r="G11" s="21">
        <f>'Emissions Reduction'!T38</f>
        <v>8046.2161323163145</v>
      </c>
      <c r="H11" s="21">
        <f>'Other Highway Use Externalities'!B25</f>
        <v>0</v>
      </c>
      <c r="I11" s="7">
        <f>'Amenity Benefits'!B16</f>
        <v>538776.11867568549</v>
      </c>
      <c r="J11" s="7">
        <f>'Health Benefits'!B20</f>
        <v>64787.64728222449</v>
      </c>
      <c r="K11" s="7">
        <f>'Residual Value'!B28</f>
        <v>0</v>
      </c>
      <c r="L11" s="7">
        <f>'Other Benefit 1'!B13</f>
        <v>0</v>
      </c>
      <c r="M11" s="7">
        <f>'Other Benefit 2'!B13</f>
        <v>0</v>
      </c>
      <c r="N11" s="7">
        <f>'Other Benefit 3'!B13</f>
        <v>0</v>
      </c>
      <c r="O11" s="7">
        <f>'Other Benefit 4'!B17</f>
        <v>0</v>
      </c>
      <c r="P11" s="157">
        <f t="shared" si="0"/>
        <v>4621833.1131043872</v>
      </c>
      <c r="Q11" s="8">
        <f>IFERROR(((P11-G11)/(1.031)^(A11-Overview!$B$22))+((G11)/(1.02)^(A11-Overview!$B$22)),0)</f>
        <v>2924598.4429675597</v>
      </c>
    </row>
    <row r="12" spans="1:17" x14ac:dyDescent="0.35">
      <c r="A12" s="1">
        <f>IF(A11&lt;'Project Information'!B$11,A11+1,"")</f>
        <v>2039</v>
      </c>
      <c r="B12" s="7">
        <f>'Operations and Maintenance'!D14</f>
        <v>-411153.19138040039</v>
      </c>
      <c r="C12" s="7">
        <f>Safety!D28</f>
        <v>3334274.3670846568</v>
      </c>
      <c r="D12" s="7">
        <f>'Travel Time Savings'!D26</f>
        <v>249720.84279337549</v>
      </c>
      <c r="E12" s="7">
        <f>'Vehicle Operating Cost Savings'!D32</f>
        <v>33946.562377182941</v>
      </c>
      <c r="F12" s="21">
        <f>'Emissions Reduction'!S39</f>
        <v>909.28292081739983</v>
      </c>
      <c r="G12" s="21">
        <f>'Emissions Reduction'!T39</f>
        <v>8062.308564580946</v>
      </c>
      <c r="H12" s="21">
        <f>'Other Highway Use Externalities'!B26</f>
        <v>0</v>
      </c>
      <c r="I12" s="7">
        <f>'Amenity Benefits'!B17</f>
        <v>539853.6709130368</v>
      </c>
      <c r="J12" s="7">
        <f>'Health Benefits'!B21</f>
        <v>64917.222576788845</v>
      </c>
      <c r="K12" s="7">
        <f>'Residual Value'!B29</f>
        <v>0</v>
      </c>
      <c r="L12" s="7">
        <f>'Other Benefit 1'!B14</f>
        <v>0</v>
      </c>
      <c r="M12" s="7">
        <f>'Other Benefit 2'!B14</f>
        <v>0</v>
      </c>
      <c r="N12" s="7">
        <f>'Other Benefit 3'!B14</f>
        <v>0</v>
      </c>
      <c r="O12" s="7">
        <f>'Other Benefit 4'!B18</f>
        <v>0</v>
      </c>
      <c r="P12" s="157">
        <f t="shared" si="0"/>
        <v>4642837.4486108394</v>
      </c>
      <c r="Q12" s="8">
        <f>IFERROR(((P12-G12)/(1.031)^(A12-Overview!$B$22))+((G12)/(1.02)^(A12-Overview!$B$22)),0)</f>
        <v>2849613.855199879</v>
      </c>
    </row>
    <row r="13" spans="1:17" x14ac:dyDescent="0.35">
      <c r="A13" s="1">
        <f>IF(A12&lt;'Project Information'!B$11,A12+1,"")</f>
        <v>2040</v>
      </c>
      <c r="B13" s="7">
        <f>'Operations and Maintenance'!D15</f>
        <v>-8425180.6720046438</v>
      </c>
      <c r="C13" s="7">
        <f>Safety!D29</f>
        <v>3340942.9158188263</v>
      </c>
      <c r="D13" s="7">
        <f>'Travel Time Savings'!D27</f>
        <v>250220.28447896225</v>
      </c>
      <c r="E13" s="7">
        <f>'Vehicle Operating Cost Savings'!D33</f>
        <v>34014.455501937293</v>
      </c>
      <c r="F13" s="21">
        <f>'Emissions Reduction'!S40</f>
        <v>911.10148665903489</v>
      </c>
      <c r="G13" s="21">
        <f>'Emissions Reduction'!T40</f>
        <v>8078.4331817101083</v>
      </c>
      <c r="H13" s="21">
        <f>'Other Highway Use Externalities'!B27</f>
        <v>0</v>
      </c>
      <c r="I13" s="7">
        <f>'Amenity Benefits'!B18</f>
        <v>540933.37825486297</v>
      </c>
      <c r="J13" s="7">
        <f>'Health Benefits'!B22</f>
        <v>65047.057021942419</v>
      </c>
      <c r="K13" s="7">
        <f>'Residual Value'!B30</f>
        <v>0</v>
      </c>
      <c r="L13" s="7">
        <f>'Other Benefit 1'!B15</f>
        <v>0</v>
      </c>
      <c r="M13" s="7">
        <f>'Other Benefit 2'!B15</f>
        <v>0</v>
      </c>
      <c r="N13" s="7">
        <f>'Other Benefit 3'!B15</f>
        <v>0</v>
      </c>
      <c r="O13" s="7">
        <f>'Other Benefit 4'!B19</f>
        <v>0</v>
      </c>
      <c r="P13" s="157">
        <f>SUM(C13:O13)-B13</f>
        <v>12665328.297749545</v>
      </c>
      <c r="Q13" s="8">
        <f>IFERROR(((P13-G13)/(1.031)^(A13-Overview!$B$22))+((G13)/(1.02)^(A13-Overview!$B$22)),0)</f>
        <v>7538319.6711064167</v>
      </c>
    </row>
    <row r="14" spans="1:17" x14ac:dyDescent="0.35">
      <c r="A14" s="1">
        <f>IF(A13&lt;'Project Information'!B$11,A13+1,"")</f>
        <v>2041</v>
      </c>
      <c r="B14" s="7">
        <f>'Operations and Maintenance'!D16</f>
        <v>-432410.42073546676</v>
      </c>
      <c r="C14" s="7">
        <f>Safety!D30</f>
        <v>3347624.8016504645</v>
      </c>
      <c r="D14" s="7">
        <f>'Travel Time Savings'!D28</f>
        <v>250720.72504792019</v>
      </c>
      <c r="E14" s="7">
        <f>'Vehicle Operating Cost Savings'!D34</f>
        <v>34082.484412941179</v>
      </c>
      <c r="F14" s="21">
        <f>'Emissions Reduction'!S41</f>
        <v>912.92368963235299</v>
      </c>
      <c r="G14" s="21">
        <f>'Emissions Reduction'!T41</f>
        <v>8094.5900480735272</v>
      </c>
      <c r="H14" s="21">
        <f>'Other Highway Use Externalities'!B28</f>
        <v>0</v>
      </c>
      <c r="I14" s="7">
        <f>'Amenity Benefits'!B19</f>
        <v>542015.24501137261</v>
      </c>
      <c r="J14" s="7">
        <f>'Health Benefits'!B23</f>
        <v>65177.151135986205</v>
      </c>
      <c r="K14" s="7">
        <f>'Residual Value'!B31</f>
        <v>0</v>
      </c>
      <c r="L14" s="7">
        <f>'Other Benefit 1'!B16</f>
        <v>0</v>
      </c>
      <c r="M14" s="7">
        <f>'Other Benefit 2'!B16</f>
        <v>0</v>
      </c>
      <c r="N14" s="7">
        <f>'Other Benefit 3'!B16</f>
        <v>0</v>
      </c>
      <c r="O14" s="7">
        <f>'Other Benefit 4'!B20</f>
        <v>0</v>
      </c>
      <c r="P14" s="157">
        <f t="shared" si="0"/>
        <v>4681038.3417318575</v>
      </c>
      <c r="Q14" s="8">
        <f>IFERROR(((P14-G14)/(1.031)^(A14-Overview!$B$22))+((G14)/(1.02)^(A14-Overview!$B$22)),0)</f>
        <v>2703000.5815623123</v>
      </c>
    </row>
    <row r="15" spans="1:17" x14ac:dyDescent="0.35">
      <c r="A15" s="1">
        <f>IF(A14&lt;'Project Information'!B$11,A14+1,"")</f>
        <v>2042</v>
      </c>
      <c r="B15" s="7">
        <f>'Operations and Maintenance'!D17</f>
        <v>-446132.73335753073</v>
      </c>
      <c r="C15" s="7">
        <f>Safety!D31</f>
        <v>3354320.0512537649</v>
      </c>
      <c r="D15" s="7">
        <f>'Travel Time Savings'!D29</f>
        <v>251222.16649801601</v>
      </c>
      <c r="E15" s="7">
        <f>'Vehicle Operating Cost Savings'!D35</f>
        <v>34150.649381767056</v>
      </c>
      <c r="F15" s="21">
        <f>'Emissions Reduction'!S42</f>
        <v>914.74953701161735</v>
      </c>
      <c r="G15" s="21">
        <f>'Emissions Reduction'!T42</f>
        <v>8110.7792281696766</v>
      </c>
      <c r="H15" s="21">
        <f>'Other Highway Use Externalities'!B29</f>
        <v>0</v>
      </c>
      <c r="I15" s="7">
        <f>'Amenity Benefits'!B20</f>
        <v>543099.27550139534</v>
      </c>
      <c r="J15" s="7">
        <f>'Health Benefits'!B24</f>
        <v>65307.505438258246</v>
      </c>
      <c r="K15" s="7">
        <f>'Residual Value'!B32</f>
        <v>0</v>
      </c>
      <c r="L15" s="7">
        <f>'Other Benefit 1'!B17</f>
        <v>0</v>
      </c>
      <c r="M15" s="7">
        <f>'Other Benefit 2'!B17</f>
        <v>0</v>
      </c>
      <c r="N15" s="7">
        <f>'Other Benefit 3'!B17</f>
        <v>0</v>
      </c>
      <c r="O15" s="7">
        <f>'Other Benefit 4'!B21</f>
        <v>0</v>
      </c>
      <c r="P15" s="157">
        <f t="shared" si="0"/>
        <v>4703257.9101959132</v>
      </c>
      <c r="Q15" s="8">
        <f>IFERROR(((P15-G15)/(1.031)^(A15-Overview!$B$22))+((G15)/(1.02)^(A15-Overview!$B$22)),0)</f>
        <v>2634228.3917206423</v>
      </c>
    </row>
    <row r="16" spans="1:17" x14ac:dyDescent="0.35">
      <c r="A16" s="1">
        <f>IF(A15&lt;'Project Information'!B$11,A15+1,"")</f>
        <v>2043</v>
      </c>
      <c r="B16" s="7">
        <f>'Operations and Maintenance'!D18</f>
        <v>-460266.71535825665</v>
      </c>
      <c r="C16" s="7">
        <f>Safety!D32</f>
        <v>3361028.6913562734</v>
      </c>
      <c r="D16" s="7">
        <f>'Travel Time Savings'!D30</f>
        <v>251724.61083101208</v>
      </c>
      <c r="E16" s="7">
        <f>'Vehicle Operating Cost Savings'!D36</f>
        <v>34218.950680530616</v>
      </c>
      <c r="F16" s="21">
        <f>'Emissions Reduction'!S43</f>
        <v>916.57903608564129</v>
      </c>
      <c r="G16" s="21">
        <f>'Emissions Reduction'!T43</f>
        <v>8127.0007866260166</v>
      </c>
      <c r="H16" s="21">
        <f>'Other Highway Use Externalities'!B30</f>
        <v>0</v>
      </c>
      <c r="I16" s="7">
        <f>'Amenity Benefits'!B21</f>
        <v>544185.47405239812</v>
      </c>
      <c r="J16" s="7">
        <f>'Health Benefits'!B25</f>
        <v>65438.12044913476</v>
      </c>
      <c r="K16" s="7">
        <f>'Residual Value'!B33</f>
        <v>0</v>
      </c>
      <c r="L16" s="7">
        <f>'Other Benefit 1'!B18</f>
        <v>0</v>
      </c>
      <c r="M16" s="7">
        <f>'Other Benefit 2'!B18</f>
        <v>0</v>
      </c>
      <c r="N16" s="7">
        <f>'Other Benefit 3'!B18</f>
        <v>0</v>
      </c>
      <c r="O16" s="7">
        <f>'Other Benefit 4'!B22</f>
        <v>0</v>
      </c>
      <c r="P16" s="157">
        <f t="shared" si="0"/>
        <v>4725906.1425503176</v>
      </c>
      <c r="Q16" s="8">
        <f>IFERROR(((P16-G16)/(1.031)^(A16-Overview!$B$22))+((G16)/(1.02)^(A16-Overview!$B$22)),0)</f>
        <v>2567381.7833171436</v>
      </c>
    </row>
    <row r="17" spans="1:17" x14ac:dyDescent="0.35">
      <c r="A17" s="1">
        <f>IF(A16&lt;'Project Information'!B$11,A16+1,"")</f>
        <v>2044</v>
      </c>
      <c r="B17" s="7">
        <f>'Operations and Maintenance'!D19</f>
        <v>-474824.71681900433</v>
      </c>
      <c r="C17" s="7">
        <f>Safety!D33</f>
        <v>3367750.7487389855</v>
      </c>
      <c r="D17" s="7">
        <f>'Travel Time Savings'!D31</f>
        <v>252228.06005267409</v>
      </c>
      <c r="E17" s="7">
        <f>'Vehicle Operating Cost Savings'!D37</f>
        <v>34287.388581891646</v>
      </c>
      <c r="F17" s="21">
        <f>'Emissions Reduction'!S44</f>
        <v>918.41219415781211</v>
      </c>
      <c r="G17" s="21">
        <f>'Emissions Reduction'!T44</f>
        <v>8143.2547881992687</v>
      </c>
      <c r="H17" s="21">
        <f>'Other Highway Use Externalities'!B31</f>
        <v>0</v>
      </c>
      <c r="I17" s="7">
        <f>'Amenity Benefits'!B22</f>
        <v>545273.84500050289</v>
      </c>
      <c r="J17" s="7">
        <f>'Health Benefits'!B26</f>
        <v>65568.996690032844</v>
      </c>
      <c r="K17" s="7">
        <f>'Residual Value'!B34</f>
        <v>0</v>
      </c>
      <c r="L17" s="7">
        <f>'Other Benefit 1'!B19</f>
        <v>0</v>
      </c>
      <c r="M17" s="7">
        <f>'Other Benefit 2'!B19</f>
        <v>0</v>
      </c>
      <c r="N17" s="7">
        <f>'Other Benefit 3'!B19</f>
        <v>0</v>
      </c>
      <c r="O17" s="7">
        <f>'Other Benefit 4'!B23</f>
        <v>0</v>
      </c>
      <c r="P17" s="157">
        <f t="shared" si="0"/>
        <v>4748995.4228654485</v>
      </c>
      <c r="Q17" s="8">
        <f>IFERROR(((P17-G17)/(1.031)^(A17-Overview!$B$22))+((G17)/(1.02)^(A17-Overview!$B$22)),0)</f>
        <v>2502406.6440899083</v>
      </c>
    </row>
    <row r="18" spans="1:17" x14ac:dyDescent="0.35">
      <c r="A18" s="1">
        <f>IF(A17&lt;'Project Information'!B$11,A17+1,"")</f>
        <v>2045</v>
      </c>
      <c r="B18" s="7">
        <f>'Operations and Maintenance'!D20</f>
        <v>-846041.70525745698</v>
      </c>
      <c r="C18" s="7">
        <f>Safety!D34</f>
        <v>3374486.2502364647</v>
      </c>
      <c r="D18" s="7">
        <f>'Travel Time Savings'!D32</f>
        <v>252732.5161727794</v>
      </c>
      <c r="E18" s="7">
        <f>'Vehicle Operating Cost Savings'!D38</f>
        <v>34355.963359055444</v>
      </c>
      <c r="F18" s="21">
        <f>'Emissions Reduction'!S45</f>
        <v>920.2490185461279</v>
      </c>
      <c r="G18" s="21">
        <f>'Emissions Reduction'!T45</f>
        <v>8159.5412977756678</v>
      </c>
      <c r="H18" s="21">
        <f>'Other Highway Use Externalities'!B32</f>
        <v>0</v>
      </c>
      <c r="I18" s="7">
        <f>'Amenity Benefits'!B23</f>
        <v>546364.39269050397</v>
      </c>
      <c r="J18" s="7">
        <f>'Health Benefits'!B27</f>
        <v>65700.134683412951</v>
      </c>
      <c r="K18" s="7">
        <f>'Residual Value'!B35</f>
        <v>0</v>
      </c>
      <c r="L18" s="7">
        <f>'Other Benefit 1'!B20</f>
        <v>0</v>
      </c>
      <c r="M18" s="7">
        <f>'Other Benefit 2'!B20</f>
        <v>0</v>
      </c>
      <c r="N18" s="7">
        <f>'Other Benefit 3'!B20</f>
        <v>0</v>
      </c>
      <c r="O18" s="7">
        <f>'Other Benefit 4'!B24</f>
        <v>0</v>
      </c>
      <c r="P18" s="157">
        <f t="shared" si="0"/>
        <v>5128760.7527159946</v>
      </c>
      <c r="Q18" s="8">
        <f>IFERROR(((P18-G18)/(1.031)^(A18-Overview!$B$22))+((G18)/(1.02)^(A18-Overview!$B$22)),0)</f>
        <v>2621233.2077447553</v>
      </c>
    </row>
    <row r="19" spans="1:17" x14ac:dyDescent="0.35">
      <c r="A19" s="1">
        <f>IF(A18&lt;'Project Information'!B$11,A18+1,"")</f>
        <v>2046</v>
      </c>
      <c r="B19" s="7">
        <f>'Operations and Maintenance'!D21</f>
        <v>-500264.04207328171</v>
      </c>
      <c r="C19" s="7">
        <f>Safety!D35</f>
        <v>3381235.222736937</v>
      </c>
      <c r="D19" s="7">
        <f>'Travel Time Savings'!D33</f>
        <v>253237.98120512499</v>
      </c>
      <c r="E19" s="7">
        <f>'Vehicle Operating Cost Savings'!D39</f>
        <v>34424.675285773556</v>
      </c>
      <c r="F19" s="21">
        <f>'Emissions Reduction'!S46</f>
        <v>922.08951658321962</v>
      </c>
      <c r="G19" s="21">
        <f>'Emissions Reduction'!T46</f>
        <v>8175.8603803712176</v>
      </c>
      <c r="H19" s="21">
        <f>'Other Highway Use Externalities'!B33</f>
        <v>0</v>
      </c>
      <c r="I19" s="7">
        <f>'Amenity Benefits'!B24</f>
        <v>547457.12147588492</v>
      </c>
      <c r="J19" s="7">
        <f>'Health Benefits'!B28</f>
        <v>65831.53495277981</v>
      </c>
      <c r="K19" s="7">
        <f>'Residual Value'!B36</f>
        <v>0</v>
      </c>
      <c r="L19" s="7">
        <f>'Other Benefit 1'!B21</f>
        <v>0</v>
      </c>
      <c r="M19" s="7">
        <f>'Other Benefit 2'!B21</f>
        <v>0</v>
      </c>
      <c r="N19" s="7">
        <f>'Other Benefit 3'!B21</f>
        <v>0</v>
      </c>
      <c r="O19" s="7">
        <f>'Other Benefit 4'!B25</f>
        <v>0</v>
      </c>
      <c r="P19" s="157">
        <f t="shared" si="0"/>
        <v>4791548.5276267361</v>
      </c>
      <c r="Q19" s="8">
        <f>IFERROR(((P19-G19)/(1.031)^(A19-Overview!$B$22))+((G19)/(1.02)^(A19-Overview!$B$22)),0)</f>
        <v>2375384.3460911573</v>
      </c>
    </row>
    <row r="20" spans="1:17" x14ac:dyDescent="0.35">
      <c r="A20" s="1">
        <f>IF(A19&lt;'Project Information'!B$11,A19+1,"")</f>
        <v>2047</v>
      </c>
      <c r="B20" s="7">
        <f>'Operations and Maintenance'!D22</f>
        <v>-516171.96333548019</v>
      </c>
      <c r="C20" s="7">
        <f>Safety!D36</f>
        <v>3387997.6931824097</v>
      </c>
      <c r="D20" s="7">
        <f>'Travel Time Savings'!D34</f>
        <v>253744.45716753521</v>
      </c>
      <c r="E20" s="7">
        <f>'Vehicle Operating Cost Savings'!D40</f>
        <v>34493.524636345101</v>
      </c>
      <c r="F20" s="21">
        <f>'Emissions Reduction'!S47</f>
        <v>923.93369561638679</v>
      </c>
      <c r="G20" s="21">
        <f>'Emissions Reduction'!T47</f>
        <v>8192.212101131965</v>
      </c>
      <c r="H20" s="21">
        <f>'Other Highway Use Externalities'!B34</f>
        <v>0</v>
      </c>
      <c r="I20" s="7">
        <f>'Amenity Benefits'!B25</f>
        <v>548552.03571883682</v>
      </c>
      <c r="J20" s="7">
        <f>'Health Benefits'!B29</f>
        <v>65963.198022685363</v>
      </c>
      <c r="K20" s="7">
        <f>'Residual Value'!B37</f>
        <v>0</v>
      </c>
      <c r="L20" s="7">
        <f>'Other Benefit 1'!B22</f>
        <v>0</v>
      </c>
      <c r="M20" s="7">
        <f>'Other Benefit 2'!B22</f>
        <v>0</v>
      </c>
      <c r="N20" s="7">
        <f>'Other Benefit 3'!B22</f>
        <v>0</v>
      </c>
      <c r="O20" s="7">
        <f>'Other Benefit 4'!B26</f>
        <v>0</v>
      </c>
      <c r="P20" s="157">
        <f t="shared" si="0"/>
        <v>4816039.017860041</v>
      </c>
      <c r="Q20" s="8">
        <f>IFERROR(((P20-G20)/(1.031)^(A20-Overview!$B$22))+((G20)/(1.02)^(A20-Overview!$B$22)),0)</f>
        <v>2315788.4324480644</v>
      </c>
    </row>
    <row r="21" spans="1:17" x14ac:dyDescent="0.35">
      <c r="A21" s="1">
        <f>IF(A20&lt;'Project Information'!B$11,A20+1,"")</f>
        <v>2048</v>
      </c>
      <c r="B21" s="7">
        <f>'Operations and Maintenance'!D23</f>
        <v>6886111.3967956603</v>
      </c>
      <c r="C21" s="7">
        <f>Safety!D37</f>
        <v>3394773.6885687737</v>
      </c>
      <c r="D21" s="7">
        <f>'Travel Time Savings'!D35</f>
        <v>254251.94608187029</v>
      </c>
      <c r="E21" s="7">
        <f>'Vehicle Operating Cost Savings'!D41</f>
        <v>34562.511685617777</v>
      </c>
      <c r="F21" s="21">
        <f>'Emissions Reduction'!S48</f>
        <v>925.7815630076193</v>
      </c>
      <c r="G21" s="21">
        <f>'Emissions Reduction'!T48</f>
        <v>8208.596525334222</v>
      </c>
      <c r="H21" s="21">
        <f>'Other Highway Use Externalities'!B35</f>
        <v>0</v>
      </c>
      <c r="I21" s="7">
        <f>'Amenity Benefits'!B26</f>
        <v>549649.13979027444</v>
      </c>
      <c r="J21" s="7">
        <f>'Health Benefits'!B30</f>
        <v>66095.124418730731</v>
      </c>
      <c r="K21" s="7">
        <f>'Residual Value'!B38</f>
        <v>0</v>
      </c>
      <c r="L21" s="7">
        <f>'Other Benefit 1'!B23</f>
        <v>0</v>
      </c>
      <c r="M21" s="7">
        <f>'Other Benefit 2'!B23</f>
        <v>0</v>
      </c>
      <c r="N21" s="7">
        <f>'Other Benefit 3'!B23</f>
        <v>0</v>
      </c>
      <c r="O21" s="7">
        <f>'Other Benefit 4'!B27</f>
        <v>0</v>
      </c>
      <c r="P21" s="157">
        <f t="shared" si="0"/>
        <v>-2577644.6081620511</v>
      </c>
      <c r="Q21" s="8">
        <f>IFERROR(((P21-G21)/(1.031)^(A21-Overview!$B$22))+((G21)/(1.02)^(A21-Overview!$B$22)),0)</f>
        <v>-1200413.3928149184</v>
      </c>
    </row>
    <row r="22" spans="1:17" x14ac:dyDescent="0.35">
      <c r="A22" s="1">
        <f>IF(A21&lt;'Project Information'!B$11,A21+1,"")</f>
        <v>2049</v>
      </c>
      <c r="B22" s="7">
        <f>'Operations and Maintenance'!D24</f>
        <v>-549433.83590261079</v>
      </c>
      <c r="C22" s="7">
        <f>Safety!D38</f>
        <v>3401563.2359459102</v>
      </c>
      <c r="D22" s="7">
        <f>'Travel Time Savings'!D36</f>
        <v>254760.44997403404</v>
      </c>
      <c r="E22" s="7">
        <f>'Vehicle Operating Cost Savings'!D42</f>
        <v>34631.636708989041</v>
      </c>
      <c r="F22" s="21">
        <f>'Emissions Reduction'!S49</f>
        <v>927.63312613363473</v>
      </c>
      <c r="G22" s="21">
        <f>'Emissions Reduction'!T49</f>
        <v>8225.0137183848929</v>
      </c>
      <c r="H22" s="21">
        <f>'Other Highway Use Externalities'!B36</f>
        <v>0</v>
      </c>
      <c r="I22" s="7">
        <f>'Amenity Benefits'!B27</f>
        <v>550748.43806985486</v>
      </c>
      <c r="J22" s="7">
        <f>'Health Benefits'!B31</f>
        <v>66227.314667568149</v>
      </c>
      <c r="K22" s="7">
        <f>'Residual Value'!B39</f>
        <v>0</v>
      </c>
      <c r="L22" s="7">
        <f>'Other Benefit 1'!B24</f>
        <v>0</v>
      </c>
      <c r="M22" s="7">
        <f>'Other Benefit 2'!B24</f>
        <v>0</v>
      </c>
      <c r="N22" s="7">
        <f>'Other Benefit 3'!B24</f>
        <v>0</v>
      </c>
      <c r="O22" s="7">
        <f>'Other Benefit 4'!B28</f>
        <v>0</v>
      </c>
      <c r="P22" s="157">
        <f t="shared" si="0"/>
        <v>4866517.5581134856</v>
      </c>
      <c r="Q22" s="8">
        <f>IFERROR(((P22-G22)/(1.031)^(A22-Overview!$B$22))+((G22)/(1.02)^(A22-Overview!$B$22)),0)</f>
        <v>2201552.4548107567</v>
      </c>
    </row>
    <row r="23" spans="1:17" x14ac:dyDescent="0.35">
      <c r="A23" s="1">
        <f>IF(A22&lt;'Project Information'!B$11,A22+1,"")</f>
        <v>2050</v>
      </c>
      <c r="B23" s="7">
        <f>'Operations and Maintenance'!D25</f>
        <v>1193183.149020311</v>
      </c>
      <c r="C23" s="7">
        <f>Safety!D39</f>
        <v>3408366.3624178013</v>
      </c>
      <c r="D23" s="7">
        <f>'Travel Time Savings'!D37</f>
        <v>255269.97087398212</v>
      </c>
      <c r="E23" s="7">
        <f>'Vehicle Operating Cost Savings'!D43</f>
        <v>34700.89998240702</v>
      </c>
      <c r="F23" s="21">
        <f>'Emissions Reduction'!S50</f>
        <v>929.48839238590199</v>
      </c>
      <c r="G23" s="21">
        <f>'Emissions Reduction'!T50</f>
        <v>8241.4637458216639</v>
      </c>
      <c r="H23" s="21">
        <f>'Other Highway Use Externalities'!B37</f>
        <v>0</v>
      </c>
      <c r="I23" s="7">
        <f>'Amenity Benefits'!B28</f>
        <v>551849.93494599464</v>
      </c>
      <c r="J23" s="7">
        <f>'Health Benefits'!B32</f>
        <v>66359.769296903352</v>
      </c>
      <c r="K23" s="7">
        <f>'Residual Value'!B40</f>
        <v>0</v>
      </c>
      <c r="L23" s="7">
        <f>'Other Benefit 1'!B25</f>
        <v>0</v>
      </c>
      <c r="M23" s="7">
        <f>'Other Benefit 2'!B25</f>
        <v>0</v>
      </c>
      <c r="N23" s="7">
        <f>'Other Benefit 3'!B25</f>
        <v>0</v>
      </c>
      <c r="O23" s="7">
        <f>'Other Benefit 4'!B29</f>
        <v>0</v>
      </c>
      <c r="P23" s="157">
        <f t="shared" si="0"/>
        <v>3132534.7406349857</v>
      </c>
      <c r="Q23" s="8">
        <f>IFERROR(((P23-G23)/(1.031)^(A23-Overview!$B$22))+((G23)/(1.02)^(A23-Overview!$B$22)),0)</f>
        <v>1374977.46660686</v>
      </c>
    </row>
    <row r="24" spans="1:17" x14ac:dyDescent="0.35">
      <c r="A24" s="1">
        <f>IF(A23&lt;'Project Information'!B$11,A23+1,"")</f>
        <v>2051</v>
      </c>
      <c r="B24" s="7">
        <f>'Operations and Maintenance'!D26</f>
        <v>-579721.35650907981</v>
      </c>
      <c r="C24" s="7">
        <f>Safety!D40</f>
        <v>3415183.0951426364</v>
      </c>
      <c r="D24" s="7">
        <f>'Travel Time Savings'!D38</f>
        <v>255780.51081573009</v>
      </c>
      <c r="E24" s="7">
        <f>'Vehicle Operating Cost Savings'!D44</f>
        <v>34770.301782371811</v>
      </c>
      <c r="F24" s="21">
        <f>'Emissions Reduction'!S51</f>
        <v>931.34736917067335</v>
      </c>
      <c r="G24" s="21">
        <f>'Emissions Reduction'!T51</f>
        <v>8257.9466733133049</v>
      </c>
      <c r="H24" s="21">
        <f>'Other Highway Use Externalities'!B38</f>
        <v>0</v>
      </c>
      <c r="I24" s="7">
        <f>'Amenity Benefits'!B29</f>
        <v>552953.63481588662</v>
      </c>
      <c r="J24" s="7">
        <f>'Health Benefits'!B33</f>
        <v>66492.488835497177</v>
      </c>
      <c r="K24" s="7">
        <f>'Residual Value'!B41</f>
        <v>0</v>
      </c>
      <c r="L24" s="7">
        <f>'Other Benefit 1'!B26</f>
        <v>0</v>
      </c>
      <c r="M24" s="7">
        <f>'Other Benefit 2'!B26</f>
        <v>0</v>
      </c>
      <c r="N24" s="7">
        <f>'Other Benefit 3'!B26</f>
        <v>0</v>
      </c>
      <c r="O24" s="7">
        <f>'Other Benefit 4'!B30</f>
        <v>0</v>
      </c>
      <c r="P24" s="157">
        <f t="shared" si="0"/>
        <v>4914090.6819436867</v>
      </c>
      <c r="Q24" s="8">
        <f>IFERROR(((P24-G24)/(1.031)^(A24-Overview!$B$22))+((G24)/(1.02)^(A24-Overview!$B$22)),0)</f>
        <v>2091491.6490888863</v>
      </c>
    </row>
    <row r="25" spans="1:17" x14ac:dyDescent="0.35">
      <c r="A25" s="1">
        <f>IF(A24&lt;'Project Information'!B$11,A24+1,"")</f>
        <v>2052</v>
      </c>
      <c r="B25" s="7">
        <f>'Operations and Maintenance'!D27</f>
        <v>-548162.99720435217</v>
      </c>
      <c r="C25" s="7">
        <f>Safety!D41</f>
        <v>3422013.4613329228</v>
      </c>
      <c r="D25" s="7">
        <f>'Travel Time Savings'!D39</f>
        <v>256292.07183736155</v>
      </c>
      <c r="E25" s="7">
        <f>'Vehicle Operating Cost Savings'!D45</f>
        <v>34839.842385936558</v>
      </c>
      <c r="F25" s="21">
        <f>'Emissions Reduction'!S52</f>
        <v>933.21006390901448</v>
      </c>
      <c r="G25" s="21">
        <f>'Emissions Reduction'!T52</f>
        <v>8274.4625666599313</v>
      </c>
      <c r="H25" s="21">
        <f>'Other Highway Use Externalities'!B39</f>
        <v>0</v>
      </c>
      <c r="I25" s="7">
        <f>'Amenity Benefits'!B30</f>
        <v>554059.54208551836</v>
      </c>
      <c r="J25" s="7">
        <f>'Health Benefits'!B34</f>
        <v>66625.47381316805</v>
      </c>
      <c r="K25" s="7">
        <f>'Residual Value'!B42</f>
        <v>0</v>
      </c>
      <c r="L25" s="7">
        <f>'Other Benefit 1'!B27</f>
        <v>0</v>
      </c>
      <c r="M25" s="7">
        <f>'Other Benefit 2'!B27</f>
        <v>0</v>
      </c>
      <c r="N25" s="7">
        <f>'Other Benefit 3'!B27</f>
        <v>0</v>
      </c>
      <c r="O25" s="7">
        <f>'Other Benefit 4'!B31</f>
        <v>0</v>
      </c>
      <c r="P25" s="157">
        <f t="shared" si="0"/>
        <v>4891201.0612898283</v>
      </c>
      <c r="Q25" s="8">
        <f>IFERROR(((P25-G25)/(1.031)^(A25-Overview!$B$22))+((G25)/(1.02)^(A25-Overview!$B$22)),0)</f>
        <v>2019213.4033607447</v>
      </c>
    </row>
    <row r="26" spans="1:17" x14ac:dyDescent="0.35">
      <c r="A26" s="1" t="str">
        <f>IF(A25&lt;'Project Information'!B$11,A25+1,"")</f>
        <v/>
      </c>
      <c r="B26" s="7">
        <f>'Operations and Maintenance'!D28</f>
        <v>0</v>
      </c>
      <c r="C26" s="7">
        <f>Safety!D42</f>
        <v>0</v>
      </c>
      <c r="D26" s="7">
        <f>'Travel Time Savings'!D40</f>
        <v>0</v>
      </c>
      <c r="E26" s="7">
        <f>'Vehicle Operating Cost Savings'!D46</f>
        <v>0</v>
      </c>
      <c r="F26" s="21">
        <f>'Emissions Reduction'!S53</f>
        <v>0</v>
      </c>
      <c r="G26" s="21">
        <f>'Emissions Reduction'!T53</f>
        <v>0</v>
      </c>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7">
        <f t="shared" si="0"/>
        <v>0</v>
      </c>
      <c r="Q26" s="8">
        <f>IFERROR(((P26-G26)/(1.031)^(A26-Overview!$B$22))+((G26)/(1.02)^(A26-Overview!$B$22)),0)</f>
        <v>0</v>
      </c>
    </row>
    <row r="27" spans="1:17" x14ac:dyDescent="0.35">
      <c r="A27" s="1" t="str">
        <f>IF(A26&lt;'Project Information'!B$11,A26+1,"")</f>
        <v/>
      </c>
      <c r="B27" s="7">
        <f>'Operations and Maintenance'!D29</f>
        <v>0</v>
      </c>
      <c r="C27" s="7">
        <f>Safety!D43</f>
        <v>0</v>
      </c>
      <c r="D27" s="7">
        <f>'Travel Time Savings'!D41</f>
        <v>0</v>
      </c>
      <c r="E27" s="7">
        <f>'Vehicle Operating Cost Savings'!D47</f>
        <v>0</v>
      </c>
      <c r="F27" s="21">
        <f>'Emissions Reduction'!S54</f>
        <v>0</v>
      </c>
      <c r="G27" s="21">
        <f>'Emissions Reduction'!T54</f>
        <v>0</v>
      </c>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7">
        <f t="shared" si="0"/>
        <v>0</v>
      </c>
      <c r="Q27" s="8">
        <f>IFERROR(((P27-G27)/(1.031)^(A27-Overview!$B$22))+((G27)/(1.02)^(A27-Overview!$B$22)),0)</f>
        <v>0</v>
      </c>
    </row>
    <row r="28" spans="1:17" x14ac:dyDescent="0.35">
      <c r="A28" s="1" t="str">
        <f>IF(A27&lt;'Project Information'!B$11,A27+1,"")</f>
        <v/>
      </c>
      <c r="B28" s="7">
        <f>'Operations and Maintenance'!D30</f>
        <v>0</v>
      </c>
      <c r="C28" s="7">
        <f>Safety!D44</f>
        <v>0</v>
      </c>
      <c r="D28" s="7">
        <f>'Travel Time Savings'!D42</f>
        <v>0</v>
      </c>
      <c r="E28" s="7">
        <f>'Vehicle Operating Cost Savings'!D48</f>
        <v>0</v>
      </c>
      <c r="F28" s="21">
        <f>'Emissions Reduction'!S55</f>
        <v>0</v>
      </c>
      <c r="G28" s="21">
        <f>'Emissions Reduction'!T55</f>
        <v>0</v>
      </c>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7">
        <f t="shared" si="0"/>
        <v>0</v>
      </c>
      <c r="Q28" s="8">
        <f>IFERROR(((P28-G28)/(1.031)^(A28-Overview!$B$22))+((G28)/(1.02)^(A28-Overview!$B$22)),0)</f>
        <v>0</v>
      </c>
    </row>
    <row r="29" spans="1:17" x14ac:dyDescent="0.35">
      <c r="A29" s="1" t="str">
        <f>IF(A28&lt;'Project Information'!B$11,A28+1,"")</f>
        <v/>
      </c>
      <c r="B29" s="7">
        <f>'Operations and Maintenance'!D31</f>
        <v>0</v>
      </c>
      <c r="C29" s="7">
        <f>Safety!D45</f>
        <v>0</v>
      </c>
      <c r="D29" s="7">
        <f>'Travel Time Savings'!D43</f>
        <v>0</v>
      </c>
      <c r="E29" s="7">
        <f>'Vehicle Operating Cost Savings'!D49</f>
        <v>0</v>
      </c>
      <c r="F29" s="21">
        <f>'Emissions Reduction'!S56</f>
        <v>0</v>
      </c>
      <c r="G29" s="21">
        <f>'Emissions Reduction'!T56</f>
        <v>0</v>
      </c>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7">
        <f t="shared" si="0"/>
        <v>0</v>
      </c>
      <c r="Q29" s="8">
        <f>IFERROR(((P29-G29)/(1.031)^(A29-Overview!$B$22))+((G29)/(1.02)^(A29-Overview!$B$22)),0)</f>
        <v>0</v>
      </c>
    </row>
    <row r="30" spans="1:17" x14ac:dyDescent="0.35">
      <c r="A30" s="1" t="str">
        <f>IF(A29&lt;'Project Information'!B$11,A29+1,"")</f>
        <v/>
      </c>
      <c r="B30" s="7">
        <f>'Operations and Maintenance'!D32</f>
        <v>0</v>
      </c>
      <c r="C30" s="7">
        <f>Safety!D46</f>
        <v>0</v>
      </c>
      <c r="D30" s="7">
        <f>'Travel Time Savings'!D44</f>
        <v>0</v>
      </c>
      <c r="E30" s="7">
        <f>'Vehicle Operating Cost Savings'!D50</f>
        <v>0</v>
      </c>
      <c r="F30" s="21">
        <f>'Emissions Reduction'!S57</f>
        <v>0</v>
      </c>
      <c r="G30" s="21">
        <f>'Emissions Reduction'!T57</f>
        <v>0</v>
      </c>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7">
        <f t="shared" si="0"/>
        <v>0</v>
      </c>
      <c r="Q30" s="8">
        <f>IFERROR(((P30-G30)/(1.031)^(A30-Overview!$B$22))+((G30)/(1.02)^(A30-Overview!$B$22)),0)</f>
        <v>0</v>
      </c>
    </row>
    <row r="31" spans="1:17" x14ac:dyDescent="0.35">
      <c r="A31" s="1" t="str">
        <f>IF(A30&lt;'Project Information'!B$11,A30+1,"")</f>
        <v/>
      </c>
      <c r="B31" s="7">
        <f>'Operations and Maintenance'!D33</f>
        <v>0</v>
      </c>
      <c r="C31" s="7">
        <f>Safety!D47</f>
        <v>0</v>
      </c>
      <c r="D31" s="7">
        <f>'Travel Time Savings'!D45</f>
        <v>0</v>
      </c>
      <c r="E31" s="7">
        <f>'Vehicle Operating Cost Savings'!D51</f>
        <v>0</v>
      </c>
      <c r="F31" s="21">
        <f>'Emissions Reduction'!S58</f>
        <v>0</v>
      </c>
      <c r="G31" s="21">
        <f>'Emissions Reduction'!T58</f>
        <v>0</v>
      </c>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7">
        <f t="shared" si="0"/>
        <v>0</v>
      </c>
      <c r="Q31" s="8">
        <f>IFERROR(((P31-G31)/(1.031)^(A31-Overview!$B$22))+((G31)/(1.02)^(A31-Overview!$B$22)),0)</f>
        <v>0</v>
      </c>
    </row>
    <row r="32" spans="1:17" x14ac:dyDescent="0.35">
      <c r="A32" s="1" t="str">
        <f>IF(A31&lt;'Project Information'!B$11,A31+1,"")</f>
        <v/>
      </c>
      <c r="B32" s="7">
        <f>'Operations and Maintenance'!D34</f>
        <v>0</v>
      </c>
      <c r="C32" s="7">
        <f>Safety!D48</f>
        <v>0</v>
      </c>
      <c r="D32" s="7">
        <f>'Travel Time Savings'!D46</f>
        <v>0</v>
      </c>
      <c r="E32" s="7">
        <f>'Vehicle Operating Cost Savings'!D52</f>
        <v>0</v>
      </c>
      <c r="F32" s="21">
        <f>'Emissions Reduction'!S59</f>
        <v>0</v>
      </c>
      <c r="G32" s="21">
        <f>'Emissions Reduction'!T59</f>
        <v>0</v>
      </c>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7">
        <f t="shared" si="0"/>
        <v>0</v>
      </c>
      <c r="Q32" s="8">
        <f>IFERROR(((P32-G32)/(1.031)^(A32-Overview!$B$22))+((G32)/(1.02)^(A32-Overview!$B$22)),0)</f>
        <v>0</v>
      </c>
    </row>
    <row r="33" spans="1:17" x14ac:dyDescent="0.35">
      <c r="A33" s="1" t="str">
        <f>IF(A32&lt;'Project Information'!B$11,A32+1,"")</f>
        <v/>
      </c>
      <c r="B33" s="7">
        <f>'Operations and Maintenance'!D35</f>
        <v>0</v>
      </c>
      <c r="C33" s="7">
        <f>Safety!D49</f>
        <v>0</v>
      </c>
      <c r="D33" s="7">
        <f>'Travel Time Savings'!D47</f>
        <v>0</v>
      </c>
      <c r="E33" s="7">
        <f>'Vehicle Operating Cost Savings'!D53</f>
        <v>0</v>
      </c>
      <c r="F33" s="21">
        <f>'Emissions Reduction'!S60</f>
        <v>0</v>
      </c>
      <c r="G33" s="21">
        <f>'Emissions Reduction'!T60</f>
        <v>0</v>
      </c>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7">
        <f t="shared" si="0"/>
        <v>0</v>
      </c>
      <c r="Q33" s="8">
        <f>IFERROR(((P33-G33)/(1.031)^(A33-Overview!$B$22))+((G33)/(1.02)^(A33-Overview!$B$22)),0)</f>
        <v>0</v>
      </c>
    </row>
    <row r="34" spans="1:17" x14ac:dyDescent="0.35">
      <c r="A34" s="1" t="str">
        <f>IF(A33&lt;'Project Information'!B$11,A33+1,"")</f>
        <v/>
      </c>
      <c r="B34" s="7">
        <f>'Operations and Maintenance'!D36</f>
        <v>0</v>
      </c>
      <c r="C34" s="7">
        <f>Safety!D50</f>
        <v>0</v>
      </c>
      <c r="D34" s="7">
        <f>'Travel Time Savings'!D48</f>
        <v>0</v>
      </c>
      <c r="E34" s="7">
        <f>'Vehicle Operating Cost Savings'!D54</f>
        <v>0</v>
      </c>
      <c r="F34" s="21">
        <f>'Emissions Reduction'!S61</f>
        <v>0</v>
      </c>
      <c r="G34" s="21">
        <f>'Emissions Reduction'!T61</f>
        <v>0</v>
      </c>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7">
        <f t="shared" si="0"/>
        <v>0</v>
      </c>
      <c r="Q34" s="8">
        <f>IFERROR(((P34-G34)/(1.031)^(A34-Overview!$B$22))+((G34)/(1.02)^(A34-Overview!$B$22)),0)</f>
        <v>0</v>
      </c>
    </row>
    <row r="35" spans="1:17" x14ac:dyDescent="0.35">
      <c r="A35" s="1" t="str">
        <f>IF(A34&lt;'Project Information'!B$11,A34+1,"")</f>
        <v/>
      </c>
      <c r="B35" s="7">
        <f>'Operations and Maintenance'!D37</f>
        <v>0</v>
      </c>
      <c r="C35" s="7">
        <f>Safety!D51</f>
        <v>0</v>
      </c>
      <c r="D35" s="7">
        <f>'Travel Time Savings'!D49</f>
        <v>0</v>
      </c>
      <c r="E35" s="7">
        <f>'Vehicle Operating Cost Savings'!D55</f>
        <v>0</v>
      </c>
      <c r="F35" s="21">
        <f>'Emissions Reduction'!S62</f>
        <v>0</v>
      </c>
      <c r="G35" s="21">
        <f>'Emissions Reduction'!T62</f>
        <v>0</v>
      </c>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7">
        <f t="shared" si="0"/>
        <v>0</v>
      </c>
      <c r="Q35" s="8">
        <f>IFERROR(((P35-G35)/(1.031)^(A35-Overview!$B$22))+((G35)/(1.02)^(A35-Overview!$B$22)),0)</f>
        <v>0</v>
      </c>
    </row>
    <row r="36" spans="1:17" x14ac:dyDescent="0.35">
      <c r="A36" s="3" t="s">
        <v>335</v>
      </c>
      <c r="B36" s="170">
        <f>SUM(B6:B35)</f>
        <v>-8918134.1834682748</v>
      </c>
      <c r="C36" s="170">
        <f t="shared" ref="C36:O36" si="1">SUM(C6:C35)</f>
        <v>67157910.794461533</v>
      </c>
      <c r="D36" s="170">
        <f t="shared" si="1"/>
        <v>5029799.0619466808</v>
      </c>
      <c r="E36" s="170">
        <f t="shared" si="1"/>
        <v>683741.03535421297</v>
      </c>
      <c r="F36" s="173">
        <f t="shared" si="1"/>
        <v>18314.492018416415</v>
      </c>
      <c r="G36" s="173">
        <f t="shared" si="1"/>
        <v>162388.49589662559</v>
      </c>
      <c r="H36" s="173">
        <f t="shared" si="1"/>
        <v>0</v>
      </c>
      <c r="I36" s="170">
        <f t="shared" si="1"/>
        <v>10873563.684844717</v>
      </c>
      <c r="J36" s="170">
        <f t="shared" si="1"/>
        <v>1307542.3803974853</v>
      </c>
      <c r="K36" s="170">
        <f t="shared" si="1"/>
        <v>0</v>
      </c>
      <c r="L36" s="170">
        <f t="shared" si="1"/>
        <v>0</v>
      </c>
      <c r="M36" s="170">
        <f t="shared" si="1"/>
        <v>0</v>
      </c>
      <c r="N36" s="170">
        <f t="shared" si="1"/>
        <v>0</v>
      </c>
      <c r="O36" s="170">
        <f t="shared" si="1"/>
        <v>0</v>
      </c>
      <c r="P36" s="171">
        <f>SUM(P6:P35)</f>
        <v>94151394.128387988</v>
      </c>
      <c r="Q36" s="165"/>
    </row>
    <row r="37" spans="1:17" x14ac:dyDescent="0.35">
      <c r="A37" s="25" t="s">
        <v>179</v>
      </c>
      <c r="B37" s="170">
        <f>NPV(0.031,B6:B35)/(1.031)^($A$6-Overview!$B$22-1)</f>
        <v>-6106937.3765429547</v>
      </c>
      <c r="C37" s="170">
        <f>NPV(0.031,C6:C35)/(1.031)^($A$6-Overview!$B$22-1)</f>
        <v>37530632.855989747</v>
      </c>
      <c r="D37" s="170">
        <f>NPV(0.031,D6:D35)/(1.031)^($A$6-Overview!$B$22-1)</f>
        <v>2810860.8457321199</v>
      </c>
      <c r="E37" s="170">
        <f>NPV(0.031,E6:E35)/(1.031)^($A$6-Overview!$B$22-1)</f>
        <v>382102.91926724935</v>
      </c>
      <c r="F37" s="37">
        <f>NPV(0.031,F6:F35)/(1.031)^($A$6-Overview!$B$22-1)</f>
        <v>10234.899623229892</v>
      </c>
      <c r="G37" s="37">
        <f>NPV(0.02,G6:G35)/(1.02)^($A$6-Overview!$B$22-1)</f>
        <v>110945.44780767438</v>
      </c>
      <c r="H37" s="37">
        <f>NPV(0.031,H6:H35)/(1.031)^($A$6-Overview!$B$22-1)</f>
        <v>0</v>
      </c>
      <c r="I37" s="170">
        <f>NPV(0.031,I6:I35)/(1.031)^($A$6-Overview!$B$22-1)</f>
        <v>6076599.4901346024</v>
      </c>
      <c r="J37" s="170">
        <f>NPV(0.031,J6:J35)/(1.031)^($A$6-Overview!$B$22-1)</f>
        <v>730709.047405208</v>
      </c>
      <c r="K37" s="170">
        <f>NPV(0.031,K6:K35)/(1.031)^($A$6-Overview!$B$22-1)</f>
        <v>0</v>
      </c>
      <c r="L37" s="170">
        <f>NPV(0.031,L6:L35)/(1.031)^($A$6-Overview!$B$22-1)</f>
        <v>0</v>
      </c>
      <c r="M37" s="170">
        <f>NPV(0.031,M6:M35)/(1.031)^($A$6-Overview!$B$22-1)</f>
        <v>0</v>
      </c>
      <c r="N37" s="170">
        <f>NPV(0.031,N6:N35)/(1.031)^($A$6-Overview!$B$22-1)</f>
        <v>0</v>
      </c>
      <c r="O37" s="170">
        <f>NPV(0.031,O6:O35)/(1.031)^($A$6-Overview!$B$22-1)</f>
        <v>0</v>
      </c>
      <c r="P37" s="170">
        <f>NPV(0.031,P6:P35)/(1.031)^($A$6-Overview!$B$22-1)</f>
        <v>53738826.878021069</v>
      </c>
      <c r="Q37" s="165">
        <f>SUM(Q6:Q35)</f>
        <v>53759022.882502772</v>
      </c>
    </row>
    <row r="38" spans="1:17" x14ac:dyDescent="0.35">
      <c r="A38" s="5" t="s">
        <v>204</v>
      </c>
    </row>
    <row r="39" spans="1:17" x14ac:dyDescent="0.35">
      <c r="A39" s="97" t="s">
        <v>243</v>
      </c>
    </row>
    <row r="40" spans="1:17" x14ac:dyDescent="0.35">
      <c r="A40" s="110" t="s">
        <v>4</v>
      </c>
      <c r="B40" s="113" t="s">
        <v>5</v>
      </c>
      <c r="C40" s="108" t="s">
        <v>6</v>
      </c>
    </row>
    <row r="41" spans="1:17" x14ac:dyDescent="0.35">
      <c r="A41" s="121">
        <f>'Capital Costs'!A9</f>
        <v>2030</v>
      </c>
      <c r="B41" s="7">
        <f>'Capital Costs'!C9</f>
        <v>8412365.0418662336</v>
      </c>
      <c r="C41" s="18">
        <f>B41/(1.031)^(A41-Overview!$B$22)</f>
        <v>6793717.0173708554</v>
      </c>
    </row>
    <row r="42" spans="1:17" x14ac:dyDescent="0.35">
      <c r="A42" s="122">
        <f t="shared" ref="A42:A55" si="2">A41+1</f>
        <v>2031</v>
      </c>
      <c r="B42" s="7">
        <f>'Capital Costs'!C10</f>
        <v>8159422.9310050756</v>
      </c>
      <c r="C42" s="18">
        <f>B42/(1.031)^(A42-Overview!$B$22)</f>
        <v>6391313.5264331</v>
      </c>
    </row>
    <row r="43" spans="1:17" x14ac:dyDescent="0.35">
      <c r="A43" s="122">
        <f t="shared" si="2"/>
        <v>2032</v>
      </c>
      <c r="B43" s="7">
        <f>'Capital Costs'!C11</f>
        <v>7914086.2570369318</v>
      </c>
      <c r="C43" s="18">
        <f>B43/(1.031)^(A43-Overview!$B$22)</f>
        <v>6012745.0832468001</v>
      </c>
    </row>
    <row r="44" spans="1:17" x14ac:dyDescent="0.35">
      <c r="A44" s="122">
        <f t="shared" si="2"/>
        <v>2033</v>
      </c>
      <c r="B44" s="7">
        <f>'Capital Costs'!C12</f>
        <v>0</v>
      </c>
      <c r="C44" s="18">
        <f>B44/(1.031)^(A44-Overview!$B$22)</f>
        <v>0</v>
      </c>
    </row>
    <row r="45" spans="1:17" x14ac:dyDescent="0.35">
      <c r="A45" s="122">
        <f t="shared" si="2"/>
        <v>2034</v>
      </c>
      <c r="B45" s="7">
        <f>'Capital Costs'!C13</f>
        <v>0</v>
      </c>
      <c r="C45" s="18">
        <f>B45/(1.031)^(A45-Overview!$B$22)</f>
        <v>0</v>
      </c>
      <c r="D45" s="36"/>
    </row>
    <row r="46" spans="1:17" x14ac:dyDescent="0.35">
      <c r="A46" s="122">
        <f t="shared" si="2"/>
        <v>2035</v>
      </c>
      <c r="B46" s="7">
        <f>'Capital Costs'!C14</f>
        <v>0</v>
      </c>
      <c r="C46" s="18">
        <f>B46/(1.031)^(A46-Overview!$B$22)</f>
        <v>0</v>
      </c>
      <c r="D46" s="36"/>
    </row>
    <row r="47" spans="1:17" x14ac:dyDescent="0.35">
      <c r="A47" s="122">
        <f t="shared" si="2"/>
        <v>2036</v>
      </c>
      <c r="B47" s="7">
        <f>'Capital Costs'!C15</f>
        <v>0</v>
      </c>
      <c r="C47" s="18">
        <f>B47/(1.031)^(A47-Overview!$B$22)</f>
        <v>0</v>
      </c>
      <c r="D47" s="36"/>
    </row>
    <row r="48" spans="1:17" x14ac:dyDescent="0.35">
      <c r="A48" s="122">
        <f t="shared" si="2"/>
        <v>2037</v>
      </c>
      <c r="B48" s="7">
        <f>'Capital Costs'!C16</f>
        <v>0</v>
      </c>
      <c r="C48" s="18">
        <f>B48/(1.031)^(A48-Overview!$B$22)</f>
        <v>0</v>
      </c>
      <c r="D48" s="36"/>
    </row>
    <row r="49" spans="1:4" x14ac:dyDescent="0.35">
      <c r="A49" s="122">
        <f t="shared" si="2"/>
        <v>2038</v>
      </c>
      <c r="B49" s="7">
        <f>'Capital Costs'!C17</f>
        <v>0</v>
      </c>
      <c r="C49" s="18">
        <f>B49/(1.031)^(A49-Overview!$B$22)</f>
        <v>0</v>
      </c>
      <c r="D49" s="36"/>
    </row>
    <row r="50" spans="1:4" x14ac:dyDescent="0.35">
      <c r="A50" s="122">
        <f t="shared" si="2"/>
        <v>2039</v>
      </c>
      <c r="B50" s="7">
        <f>'Capital Costs'!C18</f>
        <v>0</v>
      </c>
      <c r="C50" s="18">
        <f>B50/(1.031)^(A50-Overview!$B$22)</f>
        <v>0</v>
      </c>
    </row>
    <row r="51" spans="1:4" x14ac:dyDescent="0.35">
      <c r="A51" s="122">
        <f t="shared" si="2"/>
        <v>2040</v>
      </c>
      <c r="B51" s="7">
        <f>'Capital Costs'!C19</f>
        <v>0</v>
      </c>
      <c r="C51" s="18">
        <f>B51/(1.031)^(A51-Overview!$B$22)</f>
        <v>0</v>
      </c>
    </row>
    <row r="52" spans="1:4" x14ac:dyDescent="0.35">
      <c r="A52" s="122">
        <f t="shared" si="2"/>
        <v>2041</v>
      </c>
      <c r="B52" s="7">
        <f>'Capital Costs'!C20</f>
        <v>0</v>
      </c>
      <c r="C52" s="18">
        <f>B52/(1.031)^(A52-Overview!$B$22)</f>
        <v>0</v>
      </c>
    </row>
    <row r="53" spans="1:4" x14ac:dyDescent="0.35">
      <c r="A53" s="122">
        <f t="shared" si="2"/>
        <v>2042</v>
      </c>
      <c r="B53" s="7">
        <f>'Capital Costs'!C21</f>
        <v>0</v>
      </c>
      <c r="C53" s="18">
        <f>B53/(1.031)^(A53-Overview!$B$22)</f>
        <v>0</v>
      </c>
    </row>
    <row r="54" spans="1:4" x14ac:dyDescent="0.35">
      <c r="A54" s="122">
        <f t="shared" si="2"/>
        <v>2043</v>
      </c>
      <c r="B54" s="7">
        <f>'Capital Costs'!C22</f>
        <v>0</v>
      </c>
      <c r="C54" s="18">
        <f>B54/(1.031)^(A54-Overview!$B$22)</f>
        <v>0</v>
      </c>
    </row>
    <row r="55" spans="1:4" x14ac:dyDescent="0.35">
      <c r="A55" s="122">
        <f t="shared" si="2"/>
        <v>2044</v>
      </c>
      <c r="B55" s="7">
        <f>'Capital Costs'!C23</f>
        <v>0</v>
      </c>
      <c r="C55" s="18">
        <f>B55/(1.031)^(A55-Overview!$B$22)</f>
        <v>0</v>
      </c>
    </row>
    <row r="56" spans="1:4" x14ac:dyDescent="0.35">
      <c r="A56" s="25" t="s">
        <v>21</v>
      </c>
      <c r="B56" s="170">
        <f>SUM(B41:B55)</f>
        <v>24485874.229908243</v>
      </c>
      <c r="C56" s="172">
        <f>SUM(C41:C55)+'Capital Costs'!A5</f>
        <v>19197775.627050757</v>
      </c>
      <c r="D56" s="36"/>
    </row>
    <row r="57" spans="1:4" x14ac:dyDescent="0.35">
      <c r="C57" s="36"/>
      <c r="D57" s="36"/>
    </row>
    <row r="58" spans="1:4" x14ac:dyDescent="0.35">
      <c r="C58" s="36"/>
      <c r="D58" s="36"/>
    </row>
    <row r="59" spans="1:4" x14ac:dyDescent="0.35">
      <c r="C59" s="36"/>
      <c r="D59" s="36"/>
    </row>
    <row r="60" spans="1:4" x14ac:dyDescent="0.35">
      <c r="C60" s="36"/>
      <c r="D60" s="36"/>
    </row>
    <row r="61" spans="1:4" x14ac:dyDescent="0.35">
      <c r="C61" s="36"/>
      <c r="D61" s="36"/>
    </row>
    <row r="62" spans="1:4" x14ac:dyDescent="0.35">
      <c r="C62" s="36"/>
      <c r="D62" s="36"/>
    </row>
    <row r="63" spans="1:4" x14ac:dyDescent="0.35">
      <c r="D63" s="36"/>
    </row>
    <row r="65" spans="3:3" x14ac:dyDescent="0.35">
      <c r="C65" s="29"/>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workbookViewId="0"/>
  </sheetViews>
  <sheetFormatPr defaultColWidth="8.7265625" defaultRowHeight="14.5" x14ac:dyDescent="0.35"/>
  <cols>
    <col min="1" max="1" width="41.26953125" style="5" customWidth="1"/>
    <col min="2" max="2" width="31.453125" style="5" customWidth="1"/>
    <col min="3" max="16384" width="8.7265625" style="5"/>
  </cols>
  <sheetData>
    <row r="1" spans="1:3" ht="20" thickBot="1" x14ac:dyDescent="0.5">
      <c r="A1" s="96" t="s">
        <v>219</v>
      </c>
    </row>
    <row r="2" spans="1:3" ht="19" thickTop="1" x14ac:dyDescent="0.35">
      <c r="A2" s="104" t="s">
        <v>204</v>
      </c>
    </row>
    <row r="3" spans="1:3" x14ac:dyDescent="0.35">
      <c r="A3" s="97" t="s">
        <v>216</v>
      </c>
    </row>
    <row r="4" spans="1:3" x14ac:dyDescent="0.35">
      <c r="A4" s="106" t="s">
        <v>33</v>
      </c>
      <c r="B4" s="106" t="s">
        <v>213</v>
      </c>
    </row>
    <row r="5" spans="1:3" x14ac:dyDescent="0.35">
      <c r="A5" s="98" t="s">
        <v>0</v>
      </c>
      <c r="B5" s="105">
        <f>Summary!Q37</f>
        <v>53759022.882502772</v>
      </c>
    </row>
    <row r="6" spans="1:3" x14ac:dyDescent="0.35">
      <c r="A6" s="98" t="s">
        <v>1</v>
      </c>
      <c r="B6" s="105">
        <f>Summary!C56</f>
        <v>19197775.627050757</v>
      </c>
    </row>
    <row r="7" spans="1:3" x14ac:dyDescent="0.35">
      <c r="A7" s="98" t="s">
        <v>2</v>
      </c>
      <c r="B7" s="105">
        <f>B5-B6</f>
        <v>34561247.255452015</v>
      </c>
    </row>
    <row r="8" spans="1:3" x14ac:dyDescent="0.35">
      <c r="A8" s="98" t="s">
        <v>3</v>
      </c>
      <c r="B8" s="145">
        <f>IFERROR(B5/B6, "Enter Costs in 'Capital Cost' sheet")</f>
        <v>2.8002735278744093</v>
      </c>
      <c r="C8" s="5" t="s">
        <v>264</v>
      </c>
    </row>
  </sheetData>
  <conditionalFormatting sqref="A4:B4">
    <cfRule type="expression" dxfId="6" priority="1">
      <formula>ISNUMBER(SEARCH("_sns",A$4))</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0" tint="-4.9989318521683403E-2"/>
  </sheetPr>
  <dimension ref="A1:BA99"/>
  <sheetViews>
    <sheetView workbookViewId="0"/>
  </sheetViews>
  <sheetFormatPr defaultColWidth="9.1796875" defaultRowHeight="14.5" x14ac:dyDescent="0.35"/>
  <cols>
    <col min="1" max="1" width="32" style="5" customWidth="1"/>
    <col min="2" max="2" width="24.453125" style="5" customWidth="1"/>
    <col min="3" max="3" width="25.7265625" style="5" customWidth="1"/>
    <col min="4" max="4" width="24.453125" style="5" customWidth="1"/>
    <col min="5" max="10" width="9.1796875" style="5"/>
    <col min="11" max="11" width="10.26953125" style="5" customWidth="1"/>
    <col min="12" max="16384" width="9.1796875" style="5"/>
  </cols>
  <sheetData>
    <row r="1" spans="1:11" ht="20" thickBot="1" x14ac:dyDescent="0.5">
      <c r="A1" s="96" t="s">
        <v>334</v>
      </c>
    </row>
    <row r="2" spans="1:11" ht="15" thickTop="1" x14ac:dyDescent="0.35">
      <c r="A2" s="152" t="s">
        <v>244</v>
      </c>
      <c r="B2" s="152"/>
      <c r="C2" s="152"/>
      <c r="D2" s="152"/>
      <c r="E2" s="152"/>
      <c r="F2" s="152"/>
      <c r="G2" s="152"/>
      <c r="H2" s="152"/>
      <c r="I2" s="152"/>
    </row>
    <row r="3" spans="1:11" x14ac:dyDescent="0.35">
      <c r="A3" s="5" t="s">
        <v>204</v>
      </c>
    </row>
    <row r="4" spans="1:11" x14ac:dyDescent="0.35">
      <c r="A4" s="153" t="s">
        <v>356</v>
      </c>
      <c r="B4" s="152"/>
      <c r="C4" s="152"/>
      <c r="D4" s="152"/>
      <c r="E4" s="152"/>
      <c r="F4" s="152"/>
      <c r="G4" s="152"/>
      <c r="H4" s="152"/>
      <c r="I4" s="152"/>
      <c r="J4" s="152"/>
      <c r="K4" s="152"/>
    </row>
    <row r="5" spans="1:11" x14ac:dyDescent="0.35">
      <c r="A5" s="38" t="s">
        <v>204</v>
      </c>
    </row>
    <row r="6" spans="1:11" x14ac:dyDescent="0.35">
      <c r="A6" s="97" t="s">
        <v>245</v>
      </c>
    </row>
    <row r="7" spans="1:11" x14ac:dyDescent="0.35">
      <c r="A7" s="117" t="s">
        <v>144</v>
      </c>
      <c r="B7" s="160" t="s">
        <v>258</v>
      </c>
      <c r="C7" s="161" t="s">
        <v>259</v>
      </c>
      <c r="D7" s="162" t="s">
        <v>260</v>
      </c>
    </row>
    <row r="8" spans="1:11" x14ac:dyDescent="0.35">
      <c r="A8" s="43" t="str">
        <f>'Parameter Values'!A231</f>
        <v>Light-Duty Vehicles - Urban</v>
      </c>
      <c r="B8" s="143">
        <f>'Parameter Values'!B231</f>
        <v>0.14299999999999999</v>
      </c>
      <c r="C8" s="144">
        <f>'Parameter Values'!C231</f>
        <v>2E-3</v>
      </c>
      <c r="D8" s="142">
        <f>'Parameter Values'!D231</f>
        <v>1.7999999999999999E-2</v>
      </c>
    </row>
    <row r="9" spans="1:11" x14ac:dyDescent="0.35">
      <c r="A9" s="43" t="str">
        <f>'Parameter Values'!A232</f>
        <v>Light-Duty Vehicles - Rural</v>
      </c>
      <c r="B9" s="143">
        <f>'Parameter Values'!B232</f>
        <v>0.03</v>
      </c>
      <c r="C9" s="144">
        <f>'Parameter Values'!C232</f>
        <v>2.0000000000000001E-4</v>
      </c>
      <c r="D9" s="142">
        <f>'Parameter Values'!D232</f>
        <v>0.10199999999999999</v>
      </c>
    </row>
    <row r="10" spans="1:11" x14ac:dyDescent="0.35">
      <c r="A10" s="43" t="str">
        <f>'Parameter Values'!A233</f>
        <v>Light-Duty Vehicles – All Locations</v>
      </c>
      <c r="B10" s="143">
        <f>'Parameter Values'!B233</f>
        <v>0.12</v>
      </c>
      <c r="C10" s="144">
        <f>'Parameter Values'!C233</f>
        <v>1.1000000000000001E-3</v>
      </c>
      <c r="D10" s="142">
        <f>'Parameter Values'!D233</f>
        <v>4.2000000000000003E-2</v>
      </c>
    </row>
    <row r="11" spans="1:11" x14ac:dyDescent="0.35">
      <c r="A11" s="43" t="str">
        <f>'Parameter Values'!A234</f>
        <v>Buses and Trucks - Urban</v>
      </c>
      <c r="B11" s="143">
        <f>'Parameter Values'!B234</f>
        <v>0.35799999999999998</v>
      </c>
      <c r="C11" s="144">
        <f>'Parameter Values'!C234</f>
        <v>4.53E-2</v>
      </c>
      <c r="D11" s="142">
        <f>'Parameter Values'!D234</f>
        <v>1.7000000000000001E-2</v>
      </c>
    </row>
    <row r="12" spans="1:11" x14ac:dyDescent="0.35">
      <c r="A12" s="43" t="str">
        <f>'Parameter Values'!A235</f>
        <v>Buses and Trucks - Rural</v>
      </c>
      <c r="B12" s="143">
        <f>'Parameter Values'!B235</f>
        <v>7.8E-2</v>
      </c>
      <c r="C12" s="144">
        <f>'Parameter Values'!C235</f>
        <v>3.8E-3</v>
      </c>
      <c r="D12" s="142">
        <f>'Parameter Values'!D235</f>
        <v>2.9000000000000001E-2</v>
      </c>
    </row>
    <row r="13" spans="1:11" x14ac:dyDescent="0.35">
      <c r="A13" s="43" t="str">
        <f>'Parameter Values'!A236</f>
        <v>Buses and Trucks – All Locations</v>
      </c>
      <c r="B13" s="143">
        <f>'Parameter Values'!B236</f>
        <v>0.245</v>
      </c>
      <c r="C13" s="144">
        <f>'Parameter Values'!C236</f>
        <v>2.2800000000000001E-2</v>
      </c>
      <c r="D13" s="142">
        <f>'Parameter Values'!D236</f>
        <v>2.1999999999999999E-2</v>
      </c>
    </row>
    <row r="14" spans="1:11" x14ac:dyDescent="0.35">
      <c r="A14" s="43" t="str">
        <f>'Parameter Values'!A237</f>
        <v>All Vehicles - Urban</v>
      </c>
      <c r="B14" s="143">
        <f>'Parameter Values'!B237</f>
        <v>0.159</v>
      </c>
      <c r="C14" s="144">
        <f>'Parameter Values'!C237</f>
        <v>5.3E-3</v>
      </c>
      <c r="D14" s="142">
        <f>'Parameter Values'!D237</f>
        <v>1.7999999999999999E-2</v>
      </c>
    </row>
    <row r="15" spans="1:11" x14ac:dyDescent="0.35">
      <c r="A15" s="43" t="str">
        <f>'Parameter Values'!A238</f>
        <v>All Vehicles - Rural</v>
      </c>
      <c r="B15" s="143">
        <f>'Parameter Values'!B238</f>
        <v>3.6999999999999998E-2</v>
      </c>
      <c r="C15" s="144">
        <f>'Parameter Values'!C238</f>
        <v>6.9999999999999999E-4</v>
      </c>
      <c r="D15" s="142">
        <f>'Parameter Values'!D238</f>
        <v>9.0999999999999998E-2</v>
      </c>
    </row>
    <row r="16" spans="1:11" x14ac:dyDescent="0.35">
      <c r="A16" s="43" t="str">
        <f>'Parameter Values'!A239</f>
        <v>All Vehicles – All Locations</v>
      </c>
      <c r="B16" s="143">
        <f>'Parameter Values'!B239</f>
        <v>0.13300000000000001</v>
      </c>
      <c r="C16" s="144">
        <f>'Parameter Values'!C239</f>
        <v>3.2000000000000002E-3</v>
      </c>
      <c r="D16" s="142">
        <f>'Parameter Values'!D239</f>
        <v>0.04</v>
      </c>
    </row>
    <row r="17" spans="1:53" x14ac:dyDescent="0.35">
      <c r="A17" s="38" t="s">
        <v>204</v>
      </c>
    </row>
    <row r="18" spans="1:53" ht="15" thickBot="1" x14ac:dyDescent="0.4">
      <c r="A18" s="97" t="s">
        <v>261</v>
      </c>
    </row>
    <row r="19" spans="1:53" x14ac:dyDescent="0.35">
      <c r="A19" s="107" t="s">
        <v>4</v>
      </c>
      <c r="B19" s="108" t="s">
        <v>257</v>
      </c>
      <c r="F19" s="10" t="s">
        <v>161</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35">
      <c r="A20" s="6">
        <f>'Project Information'!$B$9</f>
        <v>2033</v>
      </c>
      <c r="B20" s="164">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35">
      <c r="A21" s="1">
        <f>IF(A20&lt;'Project Information'!B$11,A20+1,"")</f>
        <v>2034</v>
      </c>
      <c r="B21" s="164">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35">
      <c r="A22" s="1">
        <f>IF(A21&lt;'Project Information'!B$11,A21+1,"")</f>
        <v>2035</v>
      </c>
      <c r="B22" s="164">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35">
      <c r="A23" s="1">
        <f>IF(A22&lt;'Project Information'!B$11,A22+1,"")</f>
        <v>2036</v>
      </c>
      <c r="B23" s="164">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35">
      <c r="A24" s="1">
        <f>IF(A23&lt;'Project Information'!B$11,A23+1,"")</f>
        <v>2037</v>
      </c>
      <c r="B24" s="164">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35">
      <c r="A25" s="1">
        <f>IF(A24&lt;'Project Information'!B$11,A24+1,"")</f>
        <v>2038</v>
      </c>
      <c r="B25" s="164">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35">
      <c r="A26" s="1">
        <f>IF(A25&lt;'Project Information'!B$11,A25+1,"")</f>
        <v>2039</v>
      </c>
      <c r="B26" s="164">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35">
      <c r="A27" s="1">
        <f>IF(A26&lt;'Project Information'!B$11,A26+1,"")</f>
        <v>2040</v>
      </c>
      <c r="B27" s="164">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35">
      <c r="A28" s="1">
        <f>IF(A27&lt;'Project Information'!B$11,A27+1,"")</f>
        <v>2041</v>
      </c>
      <c r="B28" s="164">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35">
      <c r="A29" s="1">
        <f>IF(A28&lt;'Project Information'!B$11,A28+1,"")</f>
        <v>2042</v>
      </c>
      <c r="B29" s="164">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35">
      <c r="A30" s="1">
        <f>IF(A29&lt;'Project Information'!B$11,A29+1,"")</f>
        <v>2043</v>
      </c>
      <c r="B30" s="164">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35">
      <c r="A31" s="1">
        <f>IF(A30&lt;'Project Information'!B$11,A30+1,"")</f>
        <v>2044</v>
      </c>
      <c r="B31" s="164">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35">
      <c r="A32" s="1">
        <f>IF(A31&lt;'Project Information'!B$11,A31+1,"")</f>
        <v>2045</v>
      </c>
      <c r="B32" s="164">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35">
      <c r="A33" s="1">
        <f>IF(A32&lt;'Project Information'!B$11,A32+1,"")</f>
        <v>2046</v>
      </c>
      <c r="B33" s="164">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35">
      <c r="A34" s="1">
        <f>IF(A33&lt;'Project Information'!B$11,A33+1,"")</f>
        <v>2047</v>
      </c>
      <c r="B34" s="164">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35">
      <c r="A35" s="1">
        <f>IF(A34&lt;'Project Information'!B$11,A34+1,"")</f>
        <v>2048</v>
      </c>
      <c r="B35" s="164">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35">
      <c r="A36" s="1">
        <f>IF(A35&lt;'Project Information'!B$11,A35+1,"")</f>
        <v>2049</v>
      </c>
      <c r="B36" s="164">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35">
      <c r="A37" s="1">
        <f>IF(A36&lt;'Project Information'!B$11,A36+1,"")</f>
        <v>2050</v>
      </c>
      <c r="B37" s="164">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35">
      <c r="A38" s="1">
        <f>IF(A37&lt;'Project Information'!B$11,A37+1,"")</f>
        <v>2051</v>
      </c>
      <c r="B38" s="164">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35">
      <c r="A39" s="1">
        <f>IF(A38&lt;'Project Information'!B$11,A38+1,"")</f>
        <v>2052</v>
      </c>
      <c r="B39" s="164">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35">
      <c r="A40" s="1" t="str">
        <f>IF(A39&lt;'Project Information'!B$11,A39+1,"")</f>
        <v/>
      </c>
      <c r="B40" s="164">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35">
      <c r="A41" s="1" t="str">
        <f>IF(A40&lt;'Project Information'!B$11,A40+1,"")</f>
        <v/>
      </c>
      <c r="B41" s="164">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35">
      <c r="A42" s="1" t="str">
        <f>IF(A41&lt;'Project Information'!B$11,A41+1,"")</f>
        <v/>
      </c>
      <c r="B42" s="164">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35">
      <c r="A43" s="1" t="str">
        <f>IF(A42&lt;'Project Information'!B$11,A42+1,"")</f>
        <v/>
      </c>
      <c r="B43" s="164">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35">
      <c r="A44" s="1" t="str">
        <f>IF(A43&lt;'Project Information'!B$11,A43+1,"")</f>
        <v/>
      </c>
      <c r="B44" s="164">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35">
      <c r="A45" s="1" t="str">
        <f>IF(A44&lt;'Project Information'!B$11,A44+1,"")</f>
        <v/>
      </c>
      <c r="B45" s="164">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35">
      <c r="A46" s="1" t="str">
        <f>IF(A45&lt;'Project Information'!B$11,A45+1,"")</f>
        <v/>
      </c>
      <c r="B46" s="164">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35">
      <c r="A47" s="1" t="str">
        <f>IF(A46&lt;'Project Information'!B$11,A46+1,"")</f>
        <v/>
      </c>
      <c r="B47" s="164">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35">
      <c r="A48" s="1" t="str">
        <f>IF(A47&lt;'Project Information'!B$11,A47+1,"")</f>
        <v/>
      </c>
      <c r="B48" s="164">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35">
      <c r="A49" s="2" t="str">
        <f>IF(A48&lt;'Project Information'!B$11,A48+1,"")</f>
        <v/>
      </c>
      <c r="B49" s="120">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3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3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3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3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3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3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3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3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3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3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3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3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3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3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3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3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3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3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3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3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3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3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3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3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3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3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3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3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3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3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3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3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3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3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3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3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3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3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3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3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3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3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3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3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3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3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3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3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3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 thickBot="1" x14ac:dyDescent="0.4">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5" priority="1">
      <formula>A20=""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0" tint="-4.9989318521683403E-2"/>
  </sheetPr>
  <dimension ref="A1:AZ102"/>
  <sheetViews>
    <sheetView zoomScaleNormal="100" workbookViewId="0"/>
  </sheetViews>
  <sheetFormatPr defaultColWidth="9.1796875" defaultRowHeight="14.5" x14ac:dyDescent="0.35"/>
  <cols>
    <col min="1" max="1" width="33.54296875" style="5" customWidth="1"/>
    <col min="2" max="2" width="30" style="5" customWidth="1"/>
    <col min="3" max="3" width="21.81640625" style="5" customWidth="1"/>
    <col min="4" max="4" width="17.81640625" style="5" customWidth="1"/>
    <col min="5" max="16384" width="9.1796875" style="5"/>
  </cols>
  <sheetData>
    <row r="1" spans="1:11" ht="20" thickBot="1" x14ac:dyDescent="0.5">
      <c r="A1" s="96" t="s">
        <v>20</v>
      </c>
    </row>
    <row r="2" spans="1:11" ht="15" thickTop="1" x14ac:dyDescent="0.35">
      <c r="A2" s="152" t="s">
        <v>244</v>
      </c>
      <c r="B2" s="152"/>
      <c r="C2" s="152"/>
      <c r="D2" s="152"/>
      <c r="E2" s="152"/>
      <c r="F2" s="152"/>
      <c r="G2" s="152"/>
      <c r="H2" s="152"/>
    </row>
    <row r="3" spans="1:11" x14ac:dyDescent="0.35">
      <c r="A3" s="5" t="s">
        <v>204</v>
      </c>
    </row>
    <row r="4" spans="1:11" x14ac:dyDescent="0.35">
      <c r="A4" s="153" t="s">
        <v>356</v>
      </c>
      <c r="B4" s="152"/>
      <c r="C4" s="152"/>
      <c r="D4" s="152"/>
      <c r="E4" s="152"/>
      <c r="F4" s="152"/>
      <c r="G4" s="152"/>
      <c r="H4" s="152"/>
      <c r="I4" s="152"/>
      <c r="J4" s="152"/>
      <c r="K4" s="152"/>
    </row>
    <row r="5" spans="1:11" x14ac:dyDescent="0.35">
      <c r="A5" s="5" t="s">
        <v>204</v>
      </c>
    </row>
    <row r="6" spans="1:11" x14ac:dyDescent="0.35">
      <c r="A6" s="153" t="s">
        <v>311</v>
      </c>
      <c r="B6" s="152"/>
      <c r="C6" s="152"/>
      <c r="D6" s="152"/>
      <c r="E6" s="152"/>
      <c r="F6" s="152"/>
    </row>
    <row r="7" spans="1:11" x14ac:dyDescent="0.35">
      <c r="A7" s="153" t="s">
        <v>314</v>
      </c>
      <c r="B7" s="152"/>
      <c r="C7" s="152"/>
      <c r="D7" s="152"/>
      <c r="E7" s="152"/>
      <c r="F7" s="152"/>
      <c r="G7" s="152"/>
      <c r="H7" s="152"/>
      <c r="I7" s="152"/>
    </row>
    <row r="8" spans="1:11" x14ac:dyDescent="0.35">
      <c r="A8" s="153" t="s">
        <v>316</v>
      </c>
      <c r="B8" s="152"/>
      <c r="C8" s="152"/>
      <c r="D8" s="152"/>
      <c r="E8" s="152"/>
      <c r="F8" s="152"/>
    </row>
    <row r="9" spans="1:11" x14ac:dyDescent="0.35">
      <c r="A9" s="97" t="s">
        <v>300</v>
      </c>
    </row>
    <row r="10" spans="1:11" x14ac:dyDescent="0.35">
      <c r="A10" s="117" t="s">
        <v>301</v>
      </c>
      <c r="B10" s="107" t="s">
        <v>360</v>
      </c>
      <c r="C10" s="107" t="s">
        <v>303</v>
      </c>
      <c r="D10" s="107" t="s">
        <v>20</v>
      </c>
    </row>
    <row r="11" spans="1:11" x14ac:dyDescent="0.35">
      <c r="A11" s="156" t="s">
        <v>313</v>
      </c>
      <c r="B11" s="168">
        <f>SUM('Capital Costs'!C9:C23)+'Capital Costs'!A5</f>
        <v>24485874.229908243</v>
      </c>
      <c r="C11" s="23">
        <v>20</v>
      </c>
      <c r="D11" s="105">
        <f>IF(C11&gt;'Project Information'!$B$10,IFERROR(B11*((C11-'Project Information'!$B$10)/C11),0),0)</f>
        <v>0</v>
      </c>
    </row>
    <row r="12" spans="1:11" x14ac:dyDescent="0.35">
      <c r="A12" s="156" t="s">
        <v>302</v>
      </c>
      <c r="B12" s="163">
        <v>0</v>
      </c>
      <c r="C12" s="23">
        <v>0</v>
      </c>
      <c r="D12" s="105">
        <f>IF(C12&gt;'Project Information'!$B$10,IFERROR(B12*((C12-'Project Information'!$B$10)/C12),0),0)</f>
        <v>0</v>
      </c>
    </row>
    <row r="13" spans="1:11" x14ac:dyDescent="0.35">
      <c r="A13" s="156" t="s">
        <v>302</v>
      </c>
      <c r="B13" s="163">
        <v>0</v>
      </c>
      <c r="C13" s="23">
        <v>0</v>
      </c>
      <c r="D13" s="105">
        <f>IF(C13&gt;'Project Information'!$B$10,IFERROR(B13*((C13-'Project Information'!$B$10)/C13),0),0)</f>
        <v>0</v>
      </c>
    </row>
    <row r="14" spans="1:11" x14ac:dyDescent="0.35">
      <c r="A14" s="156" t="s">
        <v>302</v>
      </c>
      <c r="B14" s="163">
        <v>0</v>
      </c>
      <c r="C14" s="23">
        <v>0</v>
      </c>
      <c r="D14" s="105">
        <f>IF(C14&gt;'Project Information'!$B$10,IFERROR(B14*((C14-'Project Information'!$B$10)/C14),0),0)</f>
        <v>0</v>
      </c>
    </row>
    <row r="15" spans="1:11" x14ac:dyDescent="0.35">
      <c r="A15" s="156" t="s">
        <v>302</v>
      </c>
      <c r="B15" s="163">
        <v>0</v>
      </c>
      <c r="C15" s="23">
        <v>0</v>
      </c>
      <c r="D15" s="105">
        <f>IF(C15&gt;'Project Information'!$B$10,IFERROR(B15*((C15-'Project Information'!$B$10)/C15),0),0)</f>
        <v>0</v>
      </c>
    </row>
    <row r="16" spans="1:11" x14ac:dyDescent="0.35">
      <c r="A16" s="156" t="s">
        <v>302</v>
      </c>
      <c r="B16" s="163">
        <v>0</v>
      </c>
      <c r="C16" s="23">
        <v>0</v>
      </c>
      <c r="D16" s="105">
        <f>IF(C16&gt;'Project Information'!$B$10,IFERROR(B16*((C16-'Project Information'!$B$10)/C16),0),0)</f>
        <v>0</v>
      </c>
    </row>
    <row r="17" spans="1:52" x14ac:dyDescent="0.35">
      <c r="A17" s="3" t="s">
        <v>312</v>
      </c>
      <c r="B17" s="158"/>
      <c r="C17" s="159"/>
      <c r="D17" s="105">
        <f>SUM(D11:D16)</f>
        <v>0</v>
      </c>
    </row>
    <row r="18" spans="1:52" x14ac:dyDescent="0.35">
      <c r="A18" s="5" t="s">
        <v>204</v>
      </c>
    </row>
    <row r="19" spans="1:52" x14ac:dyDescent="0.35">
      <c r="A19" s="153" t="s">
        <v>337</v>
      </c>
      <c r="B19" s="153"/>
      <c r="C19" s="153"/>
      <c r="D19" s="153"/>
      <c r="E19" s="153"/>
      <c r="F19" s="153"/>
      <c r="G19" s="153"/>
    </row>
    <row r="20" spans="1:52" x14ac:dyDescent="0.35">
      <c r="A20" s="153" t="s">
        <v>317</v>
      </c>
      <c r="B20" s="153"/>
      <c r="C20" s="153"/>
      <c r="D20" s="153"/>
    </row>
    <row r="21" spans="1:52" ht="15" thickBot="1" x14ac:dyDescent="0.4">
      <c r="A21" s="97" t="s">
        <v>299</v>
      </c>
    </row>
    <row r="22" spans="1:52" x14ac:dyDescent="0.35">
      <c r="A22" s="107" t="s">
        <v>4</v>
      </c>
      <c r="B22" s="108" t="s">
        <v>20</v>
      </c>
      <c r="E22" s="10" t="s">
        <v>161</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35">
      <c r="A23" s="6">
        <f>'Project Information'!$B$9</f>
        <v>2033</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2034</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2035</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2036</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2037</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2038</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2039</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2040</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2041</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f>IF(A31&lt;'Project Information'!B$11,A31+1,"")</f>
        <v>2042</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f>IF(A32&lt;'Project Information'!B$11,A32+1,"")</f>
        <v>2043</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f>IF(A33&lt;'Project Information'!B$11,A33+1,"")</f>
        <v>2044</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f>IF(A34&lt;'Project Information'!B$11,A34+1,"")</f>
        <v>2045</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f>IF(A35&lt;'Project Information'!B$11,A35+1,"")</f>
        <v>2046</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f>IF(A36&lt;'Project Information'!B$11,A36+1,"")</f>
        <v>2047</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f>IF(A37&lt;'Project Information'!B$11,A37+1,"")</f>
        <v>2048</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f>IF(A38&lt;'Project Information'!B$11,A38+1,"")</f>
        <v>2049</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f>IF(A39&lt;'Project Information'!B$11,A39+1,"")</f>
        <v>2050</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1">
        <f>IF(A40&lt;'Project Information'!B$11,A40+1,"")</f>
        <v>2051</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A42" s="1">
        <f>IF(A41&lt;'Project Information'!B$11,A41+1,"")</f>
        <v>2052</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A43" s="1"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A44" s="1"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A45" s="1"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A46" s="1"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A47" s="1"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A48" s="1"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35">
      <c r="A49" s="1"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35">
      <c r="A50" s="1"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35">
      <c r="A51" s="1"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35">
      <c r="A52" s="2" t="str">
        <f>IF(A51&lt;'Project Information'!B$11,A51+1,"")</f>
        <v/>
      </c>
      <c r="B52" s="165">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3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3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3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3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3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3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3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3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3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3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3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 thickBot="1" x14ac:dyDescent="0.4">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0" tint="-4.9989318521683403E-2"/>
  </sheetPr>
  <dimension ref="A1:AZ87"/>
  <sheetViews>
    <sheetView workbookViewId="0"/>
  </sheetViews>
  <sheetFormatPr defaultColWidth="9.1796875" defaultRowHeight="14.5" x14ac:dyDescent="0.35"/>
  <cols>
    <col min="1" max="1" width="26.1796875" style="5" customWidth="1"/>
    <col min="2" max="2" width="40.7265625" style="5" customWidth="1"/>
    <col min="3" max="16384" width="9.1796875" style="5"/>
  </cols>
  <sheetData>
    <row r="1" spans="1:52" ht="20" thickBot="1" x14ac:dyDescent="0.5">
      <c r="A1" s="96" t="s">
        <v>15</v>
      </c>
    </row>
    <row r="2" spans="1:52" ht="15" thickTop="1" x14ac:dyDescent="0.35">
      <c r="A2" s="152" t="s">
        <v>238</v>
      </c>
      <c r="B2" s="152"/>
      <c r="C2" s="152"/>
      <c r="D2" s="152"/>
    </row>
    <row r="3" spans="1:52" x14ac:dyDescent="0.35">
      <c r="A3" s="5" t="s">
        <v>204</v>
      </c>
    </row>
    <row r="4" spans="1:52" x14ac:dyDescent="0.35">
      <c r="A4" s="153" t="s">
        <v>356</v>
      </c>
      <c r="B4" s="152"/>
      <c r="C4" s="152"/>
      <c r="D4" s="152"/>
      <c r="E4" s="152"/>
      <c r="F4" s="152"/>
      <c r="G4" s="152"/>
      <c r="H4" s="152"/>
      <c r="I4" s="152"/>
      <c r="J4" s="152"/>
      <c r="K4" s="152"/>
      <c r="L4" s="152"/>
      <c r="M4" s="152"/>
    </row>
    <row r="5" spans="1:52" x14ac:dyDescent="0.35">
      <c r="A5" s="5" t="s">
        <v>204</v>
      </c>
    </row>
    <row r="6" spans="1:52" ht="15" thickBot="1" x14ac:dyDescent="0.4">
      <c r="A6" s="97" t="s">
        <v>251</v>
      </c>
    </row>
    <row r="7" spans="1:52" x14ac:dyDescent="0.35">
      <c r="A7" s="107" t="s">
        <v>4</v>
      </c>
      <c r="B7" s="24" t="s">
        <v>15</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2033</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2034</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2035</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2036</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2037</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2038</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2039</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2040</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2041</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2042</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2043</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2044</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2045</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2046</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2047</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2048</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2049</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2050</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2051</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2052</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heetViews>
  <sheetFormatPr defaultColWidth="8.7265625" defaultRowHeight="14.5" x14ac:dyDescent="0.35"/>
  <cols>
    <col min="1" max="1" width="56.26953125" style="5" customWidth="1"/>
    <col min="2" max="16384" width="8.7265625" style="5"/>
  </cols>
  <sheetData>
    <row r="1" spans="1:5" ht="20" thickBot="1" x14ac:dyDescent="0.5">
      <c r="A1" s="96" t="s">
        <v>210</v>
      </c>
    </row>
    <row r="2" spans="1:5" ht="15" thickTop="1" x14ac:dyDescent="0.35">
      <c r="A2" s="152" t="s">
        <v>180</v>
      </c>
      <c r="B2" s="152"/>
      <c r="C2" s="152"/>
      <c r="D2" s="152"/>
      <c r="E2" s="152"/>
    </row>
    <row r="3" spans="1:5" x14ac:dyDescent="0.35">
      <c r="A3" s="5" t="s">
        <v>204</v>
      </c>
    </row>
    <row r="4" spans="1:5" x14ac:dyDescent="0.35">
      <c r="A4" s="97" t="s">
        <v>211</v>
      </c>
    </row>
    <row r="5" spans="1:5" x14ac:dyDescent="0.35">
      <c r="A5" s="100" t="s">
        <v>212</v>
      </c>
      <c r="B5" s="101" t="s">
        <v>213</v>
      </c>
    </row>
    <row r="6" spans="1:5" x14ac:dyDescent="0.35">
      <c r="A6" s="43" t="s">
        <v>160</v>
      </c>
      <c r="B6" s="98">
        <f>Overview!B22</f>
        <v>2023</v>
      </c>
    </row>
    <row r="7" spans="1:5" x14ac:dyDescent="0.35">
      <c r="A7" s="43" t="s">
        <v>298</v>
      </c>
      <c r="B7" s="23">
        <v>2030</v>
      </c>
      <c r="C7" s="5" t="s">
        <v>315</v>
      </c>
    </row>
    <row r="8" spans="1:5" x14ac:dyDescent="0.35">
      <c r="A8" s="43" t="s">
        <v>165</v>
      </c>
      <c r="B8" s="23">
        <v>3</v>
      </c>
      <c r="C8" s="5" t="s">
        <v>167</v>
      </c>
    </row>
    <row r="9" spans="1:5" x14ac:dyDescent="0.35">
      <c r="A9" s="43" t="s">
        <v>164</v>
      </c>
      <c r="B9" s="98">
        <f>B7+B8</f>
        <v>2033</v>
      </c>
    </row>
    <row r="10" spans="1:5" x14ac:dyDescent="0.35">
      <c r="A10" s="43" t="s">
        <v>166</v>
      </c>
      <c r="B10" s="23">
        <v>20</v>
      </c>
      <c r="C10" s="5" t="s">
        <v>331</v>
      </c>
    </row>
    <row r="11" spans="1:5" x14ac:dyDescent="0.35">
      <c r="A11" s="43" t="s">
        <v>170</v>
      </c>
      <c r="B11" s="99">
        <f>B7+B8+B10-1</f>
        <v>2052</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0" tint="-4.9989318521683403E-2"/>
  </sheetPr>
  <dimension ref="A1:AZ87"/>
  <sheetViews>
    <sheetView workbookViewId="0"/>
  </sheetViews>
  <sheetFormatPr defaultColWidth="9.1796875" defaultRowHeight="14.5" x14ac:dyDescent="0.35"/>
  <cols>
    <col min="1" max="1" width="26" style="5" customWidth="1"/>
    <col min="2" max="2" width="40.7265625" style="5" customWidth="1"/>
    <col min="3" max="16384" width="9.1796875" style="5"/>
  </cols>
  <sheetData>
    <row r="1" spans="1:52" ht="20" thickBot="1" x14ac:dyDescent="0.5">
      <c r="A1" s="96" t="s">
        <v>16</v>
      </c>
    </row>
    <row r="2" spans="1:52" ht="15" thickTop="1" x14ac:dyDescent="0.35">
      <c r="A2" s="152" t="s">
        <v>238</v>
      </c>
      <c r="B2" s="152"/>
      <c r="C2" s="152"/>
    </row>
    <row r="3" spans="1:52" x14ac:dyDescent="0.35">
      <c r="A3" s="5" t="s">
        <v>204</v>
      </c>
    </row>
    <row r="4" spans="1:52" x14ac:dyDescent="0.35">
      <c r="A4" s="153" t="s">
        <v>356</v>
      </c>
      <c r="B4" s="152"/>
      <c r="C4" s="152"/>
      <c r="D4" s="152"/>
      <c r="E4" s="152"/>
      <c r="F4" s="152"/>
      <c r="G4" s="152"/>
      <c r="H4" s="152"/>
      <c r="I4" s="152"/>
      <c r="J4" s="152"/>
      <c r="K4" s="152"/>
      <c r="L4" s="152"/>
    </row>
    <row r="5" spans="1:52" x14ac:dyDescent="0.35">
      <c r="A5" s="5" t="s">
        <v>204</v>
      </c>
    </row>
    <row r="6" spans="1:52" ht="15" thickBot="1" x14ac:dyDescent="0.4">
      <c r="A6" s="97" t="s">
        <v>251</v>
      </c>
    </row>
    <row r="7" spans="1:52" x14ac:dyDescent="0.35">
      <c r="A7" s="107" t="s">
        <v>4</v>
      </c>
      <c r="B7" s="24" t="s">
        <v>16</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2033</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2034</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2035</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2036</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2037</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2038</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2039</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2040</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2041</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2042</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2043</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2044</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2045</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2046</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2047</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2048</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2049</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2050</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2051</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2052</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0" tint="-4.9989318521683403E-2"/>
  </sheetPr>
  <dimension ref="A1:AZ87"/>
  <sheetViews>
    <sheetView workbookViewId="0"/>
  </sheetViews>
  <sheetFormatPr defaultColWidth="9.1796875" defaultRowHeight="14.5" x14ac:dyDescent="0.35"/>
  <cols>
    <col min="1" max="1" width="25.81640625" style="5" customWidth="1"/>
    <col min="2" max="2" width="40.7265625" style="5" customWidth="1"/>
    <col min="3" max="16384" width="9.1796875" style="5"/>
  </cols>
  <sheetData>
    <row r="1" spans="1:52" ht="20" thickBot="1" x14ac:dyDescent="0.5">
      <c r="A1" s="96" t="s">
        <v>17</v>
      </c>
    </row>
    <row r="2" spans="1:52" ht="15" thickTop="1" x14ac:dyDescent="0.35">
      <c r="A2" s="152" t="s">
        <v>238</v>
      </c>
      <c r="B2" s="152"/>
      <c r="C2" s="152"/>
    </row>
    <row r="3" spans="1:52" x14ac:dyDescent="0.35">
      <c r="A3" s="5" t="s">
        <v>204</v>
      </c>
    </row>
    <row r="4" spans="1:52" x14ac:dyDescent="0.35">
      <c r="A4" s="153" t="s">
        <v>356</v>
      </c>
      <c r="B4" s="152"/>
      <c r="C4" s="152"/>
      <c r="D4" s="152"/>
      <c r="E4" s="152"/>
      <c r="F4" s="152"/>
      <c r="G4" s="152"/>
      <c r="H4" s="152"/>
      <c r="I4" s="152"/>
      <c r="J4" s="152"/>
      <c r="K4" s="152"/>
      <c r="L4" s="152"/>
    </row>
    <row r="5" spans="1:52" x14ac:dyDescent="0.35">
      <c r="A5" s="5" t="s">
        <v>204</v>
      </c>
    </row>
    <row r="6" spans="1:52" ht="15" thickBot="1" x14ac:dyDescent="0.4">
      <c r="A6" s="97" t="s">
        <v>251</v>
      </c>
    </row>
    <row r="7" spans="1:52" x14ac:dyDescent="0.35">
      <c r="A7" s="107" t="s">
        <v>4</v>
      </c>
      <c r="B7" s="24" t="s">
        <v>17</v>
      </c>
      <c r="C7" s="5" t="s">
        <v>159</v>
      </c>
      <c r="E7" s="10" t="s">
        <v>161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35">
      <c r="A8" s="6">
        <f>'Project Information'!$B$9</f>
        <v>2033</v>
      </c>
      <c r="B8" s="164">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35">
      <c r="A9" s="1">
        <f>IF(A8&lt;'Project Information'!B$11,A8+1,"")</f>
        <v>2034</v>
      </c>
      <c r="B9" s="164">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IF(A9&lt;'Project Information'!B$11,A9+1,"")</f>
        <v>2035</v>
      </c>
      <c r="B10" s="164">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IF(A10&lt;'Project Information'!B$11,A10+1,"")</f>
        <v>2036</v>
      </c>
      <c r="B11" s="164">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f>IF(A11&lt;'Project Information'!B$11,A11+1,"")</f>
        <v>2037</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2038</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2039</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2040</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2041</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2042</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2043</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2044</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2045</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2046</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2047</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2048</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2049</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2050</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2051</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2052</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t="str">
        <f>IF(A27&lt;'Project Information'!B$11,A27+1,"")</f>
        <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t="str">
        <f>IF(A28&lt;'Project Information'!B$11,A28+1,"")</f>
        <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t="str">
        <f>IF(A29&lt;'Project Information'!B$11,A29+1,"")</f>
        <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t="str">
        <f>IF(A30&lt;'Project Information'!B$11,A30+1,"")</f>
        <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2" t="str">
        <f>IF(A36&lt;'Project Information'!B$11,A36+1,"")</f>
        <v/>
      </c>
      <c r="B37" s="120">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 thickBot="1" x14ac:dyDescent="0.4">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1" priority="1">
      <formula>A8=""</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0" tint="-4.9989318521683403E-2"/>
  </sheetPr>
  <dimension ref="A1:AZ91"/>
  <sheetViews>
    <sheetView zoomScaleNormal="100" workbookViewId="0"/>
  </sheetViews>
  <sheetFormatPr defaultColWidth="9.1796875" defaultRowHeight="14.5" x14ac:dyDescent="0.35"/>
  <cols>
    <col min="1" max="1" width="40.81640625" style="5" customWidth="1"/>
    <col min="2" max="2" width="40.7265625" style="5" customWidth="1"/>
    <col min="3" max="16384" width="9.1796875" style="5"/>
  </cols>
  <sheetData>
    <row r="1" spans="1:52" ht="20" thickBot="1" x14ac:dyDescent="0.5">
      <c r="A1" s="96" t="s">
        <v>18</v>
      </c>
    </row>
    <row r="2" spans="1:52" ht="15" thickTop="1" x14ac:dyDescent="0.35">
      <c r="A2" s="152" t="s">
        <v>239</v>
      </c>
      <c r="B2" s="152"/>
      <c r="C2" s="152"/>
      <c r="D2" s="152"/>
      <c r="E2" s="152"/>
      <c r="F2" s="152"/>
      <c r="G2" s="152"/>
    </row>
    <row r="3" spans="1:52" x14ac:dyDescent="0.35">
      <c r="A3" s="152" t="s">
        <v>241</v>
      </c>
      <c r="B3" s="152"/>
      <c r="C3" s="152"/>
    </row>
    <row r="4" spans="1:52" x14ac:dyDescent="0.35">
      <c r="A4" s="152" t="s">
        <v>240</v>
      </c>
      <c r="B4" s="152"/>
      <c r="C4" s="152"/>
      <c r="D4" s="152"/>
      <c r="E4" s="152"/>
      <c r="F4" s="152"/>
    </row>
    <row r="5" spans="1:52" x14ac:dyDescent="0.35">
      <c r="A5" s="5" t="s">
        <v>204</v>
      </c>
    </row>
    <row r="6" spans="1:52" x14ac:dyDescent="0.35">
      <c r="A6" s="152" t="s">
        <v>238</v>
      </c>
      <c r="B6" s="152"/>
    </row>
    <row r="7" spans="1:52" x14ac:dyDescent="0.35">
      <c r="A7" s="5" t="s">
        <v>204</v>
      </c>
    </row>
    <row r="8" spans="1:52" x14ac:dyDescent="0.35">
      <c r="A8" s="153" t="s">
        <v>356</v>
      </c>
      <c r="B8" s="152"/>
      <c r="C8" s="152"/>
      <c r="D8" s="152"/>
      <c r="E8" s="152"/>
      <c r="F8" s="152"/>
      <c r="G8" s="152"/>
      <c r="H8" s="152"/>
      <c r="I8" s="152"/>
      <c r="J8" s="152"/>
      <c r="K8" s="152"/>
    </row>
    <row r="9" spans="1:52" x14ac:dyDescent="0.35">
      <c r="A9" s="38" t="s">
        <v>204</v>
      </c>
    </row>
    <row r="10" spans="1:52" ht="15" thickBot="1" x14ac:dyDescent="0.4">
      <c r="A10" s="97" t="s">
        <v>251</v>
      </c>
    </row>
    <row r="11" spans="1:52" x14ac:dyDescent="0.35">
      <c r="A11" s="109" t="s">
        <v>4</v>
      </c>
      <c r="B11" s="24" t="s">
        <v>18</v>
      </c>
      <c r="C11" s="5" t="s">
        <v>159</v>
      </c>
      <c r="E11" s="10" t="s">
        <v>161</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35">
      <c r="A12" s="6">
        <f>'Project Information'!$B$9</f>
        <v>2033</v>
      </c>
      <c r="B12" s="164">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f>IF(A12&lt;'Project Information'!B$11,A12+1,"")</f>
        <v>2034</v>
      </c>
      <c r="B13" s="164">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f>IF(A13&lt;'Project Information'!B$11,A13+1,"")</f>
        <v>2035</v>
      </c>
      <c r="B14" s="164">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f>IF(A14&lt;'Project Information'!B$11,A14+1,"")</f>
        <v>2036</v>
      </c>
      <c r="B15" s="164">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f>IF(A15&lt;'Project Information'!B$11,A15+1,"")</f>
        <v>2037</v>
      </c>
      <c r="B16" s="164">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f>IF(A16&lt;'Project Information'!B$11,A16+1,"")</f>
        <v>2038</v>
      </c>
      <c r="B17" s="164">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f>IF(A17&lt;'Project Information'!B$11,A17+1,"")</f>
        <v>2039</v>
      </c>
      <c r="B18" s="164">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f>IF(A18&lt;'Project Information'!B$11,A18+1,"")</f>
        <v>2040</v>
      </c>
      <c r="B19" s="164">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f>IF(A19&lt;'Project Information'!B$11,A19+1,"")</f>
        <v>2041</v>
      </c>
      <c r="B20" s="164">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f>IF(A20&lt;'Project Information'!B$11,A20+1,"")</f>
        <v>2042</v>
      </c>
      <c r="B21" s="164">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f>IF(A21&lt;'Project Information'!B$11,A21+1,"")</f>
        <v>2043</v>
      </c>
      <c r="B22" s="164">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f>IF(A22&lt;'Project Information'!B$11,A22+1,"")</f>
        <v>2044</v>
      </c>
      <c r="B23" s="164">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1">
        <f>IF(A23&lt;'Project Information'!B$11,A23+1,"")</f>
        <v>2045</v>
      </c>
      <c r="B24" s="164">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A25" s="1">
        <f>IF(A24&lt;'Project Information'!B$11,A24+1,"")</f>
        <v>2046</v>
      </c>
      <c r="B25" s="164">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A26" s="1">
        <f>IF(A25&lt;'Project Information'!B$11,A25+1,"")</f>
        <v>2047</v>
      </c>
      <c r="B26" s="164">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A27" s="1">
        <f>IF(A26&lt;'Project Information'!B$11,A26+1,"")</f>
        <v>2048</v>
      </c>
      <c r="B27" s="164">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A28" s="1">
        <f>IF(A27&lt;'Project Information'!B$11,A27+1,"")</f>
        <v>2049</v>
      </c>
      <c r="B28" s="164">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A29" s="1">
        <f>IF(A28&lt;'Project Information'!B$11,A28+1,"")</f>
        <v>2050</v>
      </c>
      <c r="B29" s="164">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A30" s="1">
        <f>IF(A29&lt;'Project Information'!B$11,A29+1,"")</f>
        <v>2051</v>
      </c>
      <c r="B30" s="164">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A31" s="1">
        <f>IF(A30&lt;'Project Information'!B$11,A30+1,"")</f>
        <v>2052</v>
      </c>
      <c r="B31" s="164">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A32" s="1" t="str">
        <f>IF(A31&lt;'Project Information'!B$11,A31+1,"")</f>
        <v/>
      </c>
      <c r="B32" s="164">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35">
      <c r="A33" s="1" t="str">
        <f>IF(A32&lt;'Project Information'!B$11,A32+1,"")</f>
        <v/>
      </c>
      <c r="B33" s="164">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35">
      <c r="A34" s="1" t="str">
        <f>IF(A33&lt;'Project Information'!B$11,A33+1,"")</f>
        <v/>
      </c>
      <c r="B34" s="164">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35">
      <c r="A35" s="1" t="str">
        <f>IF(A34&lt;'Project Information'!B$11,A34+1,"")</f>
        <v/>
      </c>
      <c r="B35" s="164">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35">
      <c r="A36" s="1" t="str">
        <f>IF(A35&lt;'Project Information'!B$11,A35+1,"")</f>
        <v/>
      </c>
      <c r="B36" s="164">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35">
      <c r="A37" s="1" t="str">
        <f>IF(A36&lt;'Project Information'!B$11,A36+1,"")</f>
        <v/>
      </c>
      <c r="B37" s="164">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35">
      <c r="A38" s="1" t="str">
        <f>IF(A37&lt;'Project Information'!B$11,A37+1,"")</f>
        <v/>
      </c>
      <c r="B38" s="164">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35">
      <c r="A39" s="1" t="str">
        <f>IF(A38&lt;'Project Information'!B$11,A38+1,"")</f>
        <v/>
      </c>
      <c r="B39" s="164">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35">
      <c r="A40" s="1" t="str">
        <f>IF(A39&lt;'Project Information'!B$11,A39+1,"")</f>
        <v/>
      </c>
      <c r="B40" s="164">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35">
      <c r="A41" s="2" t="str">
        <f>IF(A40&lt;'Project Information'!B$11,A40+1,"")</f>
        <v/>
      </c>
      <c r="B41" s="120">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3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3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3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3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3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3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3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3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3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3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3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3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3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3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3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3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3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3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3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3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3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3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3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3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3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3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3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3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3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3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3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3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3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3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3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3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3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3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3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3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3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3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3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3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3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3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3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3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3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 thickBot="1" x14ac:dyDescent="0.4">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0" priority="1">
      <formula>A12=""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topLeftCell="A216" zoomScaleNormal="100" workbookViewId="0"/>
  </sheetViews>
  <sheetFormatPr defaultRowHeight="14.5" x14ac:dyDescent="0.35"/>
  <cols>
    <col min="1" max="1" width="48.81640625" customWidth="1"/>
    <col min="2" max="2" width="27.26953125" customWidth="1"/>
    <col min="3" max="3" width="22.54296875" customWidth="1"/>
    <col min="4" max="4" width="19" customWidth="1"/>
    <col min="5" max="5" width="13.54296875" customWidth="1"/>
    <col min="6" max="6" width="12" customWidth="1"/>
  </cols>
  <sheetData>
    <row r="1" spans="1:6" ht="21" x14ac:dyDescent="0.5">
      <c r="A1" s="56" t="s">
        <v>203</v>
      </c>
      <c r="B1" s="57"/>
      <c r="C1" s="57"/>
      <c r="D1" s="57"/>
      <c r="E1" s="71"/>
      <c r="F1" s="71"/>
    </row>
    <row r="2" spans="1:6" x14ac:dyDescent="0.35">
      <c r="A2" s="152" t="s">
        <v>307</v>
      </c>
      <c r="B2" s="152"/>
      <c r="C2" s="152"/>
      <c r="D2" s="152"/>
      <c r="E2" s="152"/>
      <c r="F2" s="60"/>
    </row>
    <row r="3" spans="1:6" x14ac:dyDescent="0.35">
      <c r="A3" s="61" t="s">
        <v>306</v>
      </c>
      <c r="F3" s="60"/>
    </row>
    <row r="4" spans="1:6" x14ac:dyDescent="0.35">
      <c r="A4" s="62" t="s">
        <v>204</v>
      </c>
      <c r="F4" s="60"/>
    </row>
    <row r="5" spans="1:6" x14ac:dyDescent="0.35">
      <c r="A5" s="63" t="s">
        <v>265</v>
      </c>
      <c r="B5" s="64"/>
      <c r="C5" s="64"/>
      <c r="D5" s="64"/>
      <c r="E5" s="64"/>
      <c r="F5" s="60"/>
    </row>
    <row r="6" spans="1:6" ht="17.25" customHeight="1" x14ac:dyDescent="0.35">
      <c r="A6" s="66" t="s">
        <v>22</v>
      </c>
      <c r="B6" s="66" t="s">
        <v>340</v>
      </c>
      <c r="C6" s="64"/>
      <c r="D6" s="64"/>
      <c r="E6" s="64"/>
      <c r="F6" s="60"/>
    </row>
    <row r="7" spans="1:6" x14ac:dyDescent="0.35">
      <c r="A7" s="67" t="s">
        <v>23</v>
      </c>
      <c r="B7" s="68">
        <v>5300</v>
      </c>
      <c r="C7" s="64"/>
      <c r="D7" s="64"/>
      <c r="E7" s="64"/>
      <c r="F7" s="60"/>
    </row>
    <row r="8" spans="1:6" x14ac:dyDescent="0.35">
      <c r="A8" s="67" t="s">
        <v>24</v>
      </c>
      <c r="B8" s="68">
        <v>118000</v>
      </c>
      <c r="C8" s="64"/>
      <c r="D8" s="64"/>
      <c r="E8" s="64"/>
      <c r="F8" s="60"/>
    </row>
    <row r="9" spans="1:6" x14ac:dyDescent="0.35">
      <c r="A9" s="67" t="s">
        <v>25</v>
      </c>
      <c r="B9" s="68">
        <v>246900</v>
      </c>
      <c r="C9" s="64"/>
      <c r="D9" s="64"/>
      <c r="E9" s="64"/>
      <c r="F9" s="60"/>
    </row>
    <row r="10" spans="1:6" x14ac:dyDescent="0.35">
      <c r="A10" s="67" t="s">
        <v>26</v>
      </c>
      <c r="B10" s="68">
        <v>1254700</v>
      </c>
      <c r="C10" s="64"/>
      <c r="D10" s="64"/>
      <c r="E10" s="64"/>
      <c r="F10" s="60"/>
    </row>
    <row r="11" spans="1:6" x14ac:dyDescent="0.35">
      <c r="A11" s="67" t="s">
        <v>27</v>
      </c>
      <c r="B11" s="68">
        <v>13200000</v>
      </c>
      <c r="C11" s="64"/>
      <c r="D11" s="64"/>
      <c r="E11" s="64"/>
      <c r="F11" s="60"/>
    </row>
    <row r="12" spans="1:6" x14ac:dyDescent="0.35">
      <c r="A12" s="67" t="s">
        <v>28</v>
      </c>
      <c r="B12" s="68">
        <v>229800</v>
      </c>
      <c r="C12" s="64"/>
      <c r="D12" s="64"/>
      <c r="E12" s="64"/>
      <c r="F12" s="60"/>
    </row>
    <row r="13" spans="1:6" x14ac:dyDescent="0.35">
      <c r="A13" s="63" t="s">
        <v>336</v>
      </c>
      <c r="B13" s="64"/>
      <c r="C13" s="64"/>
      <c r="D13" s="64"/>
      <c r="E13" s="64"/>
      <c r="F13" s="60"/>
    </row>
    <row r="14" spans="1:6" x14ac:dyDescent="0.35">
      <c r="A14" s="66" t="s">
        <v>29</v>
      </c>
      <c r="B14" s="66" t="s">
        <v>340</v>
      </c>
      <c r="C14" s="64"/>
      <c r="D14" s="64"/>
      <c r="E14" s="64"/>
      <c r="F14" s="60"/>
    </row>
    <row r="15" spans="1:6" x14ac:dyDescent="0.35">
      <c r="A15" s="67" t="s">
        <v>266</v>
      </c>
      <c r="B15" s="68">
        <v>9500</v>
      </c>
      <c r="C15" s="64"/>
      <c r="D15" s="64"/>
      <c r="E15" s="64"/>
      <c r="F15" s="60"/>
    </row>
    <row r="16" spans="1:6" x14ac:dyDescent="0.35">
      <c r="A16" s="67" t="s">
        <v>30</v>
      </c>
      <c r="B16" s="68">
        <v>329500</v>
      </c>
      <c r="C16" s="64"/>
      <c r="D16" s="64"/>
      <c r="E16" s="64"/>
      <c r="F16" s="60"/>
    </row>
    <row r="17" spans="1:6" x14ac:dyDescent="0.35">
      <c r="A17" s="67" t="s">
        <v>31</v>
      </c>
      <c r="B17" s="68">
        <v>14806000</v>
      </c>
      <c r="C17" s="64"/>
      <c r="D17" s="64"/>
      <c r="E17" s="64"/>
      <c r="F17" s="60"/>
    </row>
    <row r="18" spans="1:6" x14ac:dyDescent="0.35">
      <c r="A18" s="65" t="s">
        <v>204</v>
      </c>
      <c r="B18" s="64"/>
      <c r="C18" s="64"/>
      <c r="D18" s="64"/>
      <c r="E18" s="64"/>
      <c r="F18" s="60"/>
    </row>
    <row r="19" spans="1:6" x14ac:dyDescent="0.35">
      <c r="A19" s="63" t="s">
        <v>267</v>
      </c>
      <c r="B19" s="64"/>
      <c r="C19" s="64"/>
      <c r="D19" s="64"/>
      <c r="E19" s="64"/>
      <c r="F19" s="60"/>
    </row>
    <row r="20" spans="1:6" ht="15" customHeight="1" x14ac:dyDescent="0.35">
      <c r="A20" s="281" t="s">
        <v>32</v>
      </c>
      <c r="B20" s="281"/>
      <c r="C20" s="64"/>
      <c r="D20" s="64"/>
      <c r="E20" s="64"/>
      <c r="F20" s="60"/>
    </row>
    <row r="21" spans="1:6" x14ac:dyDescent="0.35">
      <c r="A21" s="281" t="s">
        <v>341</v>
      </c>
      <c r="B21" s="281"/>
      <c r="C21" s="64"/>
      <c r="D21" s="64"/>
      <c r="E21" s="64"/>
      <c r="F21" s="60"/>
    </row>
    <row r="22" spans="1:6" x14ac:dyDescent="0.35">
      <c r="A22" s="66" t="s">
        <v>33</v>
      </c>
      <c r="B22" s="66" t="s">
        <v>34</v>
      </c>
      <c r="C22" s="64"/>
      <c r="D22" s="64"/>
      <c r="E22" s="64"/>
      <c r="F22" s="60"/>
    </row>
    <row r="23" spans="1:6" x14ac:dyDescent="0.35">
      <c r="A23" s="67" t="s">
        <v>35</v>
      </c>
      <c r="B23" s="69"/>
      <c r="C23" s="64"/>
      <c r="D23" s="64"/>
      <c r="E23" s="64"/>
      <c r="F23" s="60"/>
    </row>
    <row r="24" spans="1:6" ht="16" x14ac:dyDescent="0.35">
      <c r="A24" s="67" t="s">
        <v>40</v>
      </c>
      <c r="B24" s="70">
        <v>19.399999999999999</v>
      </c>
      <c r="C24" s="64"/>
      <c r="D24" s="64"/>
      <c r="E24" s="64"/>
      <c r="F24" s="60"/>
    </row>
    <row r="25" spans="1:6" ht="16" x14ac:dyDescent="0.35">
      <c r="A25" s="67" t="s">
        <v>41</v>
      </c>
      <c r="B25" s="70">
        <v>33.5</v>
      </c>
      <c r="C25" s="64"/>
      <c r="D25" s="64"/>
      <c r="E25" s="64"/>
      <c r="F25" s="60"/>
    </row>
    <row r="26" spans="1:6" ht="16" x14ac:dyDescent="0.35">
      <c r="A26" s="67" t="s">
        <v>42</v>
      </c>
      <c r="B26" s="70">
        <v>21.1</v>
      </c>
      <c r="C26" s="64"/>
      <c r="D26" s="64"/>
      <c r="E26" s="64"/>
      <c r="F26" s="60"/>
    </row>
    <row r="27" spans="1:6" x14ac:dyDescent="0.35">
      <c r="A27" s="67"/>
      <c r="B27" s="70"/>
      <c r="C27" s="64"/>
      <c r="D27" s="64"/>
      <c r="E27" s="64"/>
      <c r="F27" s="60"/>
    </row>
    <row r="28" spans="1:6" ht="16" x14ac:dyDescent="0.35">
      <c r="A28" s="67" t="s">
        <v>43</v>
      </c>
      <c r="B28" s="70">
        <v>38.799999999999997</v>
      </c>
      <c r="C28" s="64"/>
      <c r="D28" s="64"/>
      <c r="E28" s="64"/>
      <c r="F28" s="60"/>
    </row>
    <row r="29" spans="1:6" x14ac:dyDescent="0.35">
      <c r="A29" s="69"/>
      <c r="B29" s="70"/>
      <c r="C29" s="64"/>
      <c r="D29" s="64"/>
      <c r="E29" s="64"/>
      <c r="F29" s="60"/>
    </row>
    <row r="30" spans="1:6" ht="16" x14ac:dyDescent="0.35">
      <c r="A30" s="67" t="s">
        <v>44</v>
      </c>
      <c r="B30" s="70"/>
      <c r="C30" s="64"/>
      <c r="D30" s="64"/>
      <c r="E30" s="64"/>
      <c r="F30" s="60"/>
    </row>
    <row r="31" spans="1:6" x14ac:dyDescent="0.35">
      <c r="A31" s="67" t="s">
        <v>36</v>
      </c>
      <c r="B31" s="70">
        <v>35.700000000000003</v>
      </c>
      <c r="C31" s="64"/>
      <c r="D31" s="64"/>
      <c r="E31" s="64"/>
      <c r="F31" s="60"/>
    </row>
    <row r="32" spans="1:6" x14ac:dyDescent="0.35">
      <c r="A32" s="67" t="s">
        <v>37</v>
      </c>
      <c r="B32" s="70">
        <v>42.6</v>
      </c>
      <c r="C32" s="64"/>
      <c r="D32" s="64"/>
      <c r="E32" s="64"/>
      <c r="F32" s="60"/>
    </row>
    <row r="33" spans="1:6" x14ac:dyDescent="0.35">
      <c r="A33" s="67" t="s">
        <v>38</v>
      </c>
      <c r="B33" s="70">
        <v>59.6</v>
      </c>
      <c r="C33" s="64"/>
      <c r="D33" s="64"/>
      <c r="E33" s="64"/>
      <c r="F33" s="60"/>
    </row>
    <row r="34" spans="1:6" x14ac:dyDescent="0.35">
      <c r="A34" s="67" t="s">
        <v>39</v>
      </c>
      <c r="B34" s="70">
        <v>52.9</v>
      </c>
      <c r="C34" s="64"/>
      <c r="D34" s="64"/>
      <c r="E34" s="64"/>
      <c r="F34" s="60"/>
    </row>
    <row r="35" spans="1:6" x14ac:dyDescent="0.35">
      <c r="A35" s="73"/>
      <c r="B35" s="74"/>
      <c r="C35" s="64"/>
      <c r="D35" s="64"/>
      <c r="E35" s="64"/>
      <c r="F35" s="60"/>
    </row>
    <row r="36" spans="1:6" ht="83.25" customHeight="1" x14ac:dyDescent="0.35">
      <c r="A36" s="282" t="s">
        <v>338</v>
      </c>
      <c r="B36" s="283"/>
      <c r="C36" s="64"/>
      <c r="D36" s="64"/>
      <c r="E36" s="64"/>
      <c r="F36" s="60"/>
    </row>
    <row r="37" spans="1:6" ht="54" customHeight="1" x14ac:dyDescent="0.35">
      <c r="A37" s="282" t="s">
        <v>45</v>
      </c>
      <c r="B37" s="283"/>
      <c r="C37" s="64"/>
      <c r="D37" s="64"/>
      <c r="E37" s="64"/>
      <c r="F37" s="60"/>
    </row>
    <row r="38" spans="1:6" ht="58.5" customHeight="1" x14ac:dyDescent="0.35">
      <c r="A38" s="282" t="s">
        <v>339</v>
      </c>
      <c r="B38" s="283"/>
      <c r="C38" s="64"/>
      <c r="D38" s="64"/>
      <c r="E38" s="64"/>
      <c r="F38" s="60"/>
    </row>
    <row r="39" spans="1:6" ht="25.5" customHeight="1" x14ac:dyDescent="0.35">
      <c r="A39" s="286" t="s">
        <v>46</v>
      </c>
      <c r="B39" s="287"/>
      <c r="C39" s="64"/>
      <c r="D39" s="64"/>
      <c r="E39" s="64"/>
      <c r="F39" s="60"/>
    </row>
    <row r="40" spans="1:6" ht="23.25" customHeight="1" x14ac:dyDescent="0.35">
      <c r="A40" s="288" t="s">
        <v>47</v>
      </c>
      <c r="B40" s="289"/>
      <c r="C40" s="64"/>
      <c r="D40" s="64"/>
      <c r="E40" s="64"/>
      <c r="F40" s="60"/>
    </row>
    <row r="41" spans="1:6" x14ac:dyDescent="0.35">
      <c r="A41" s="5" t="s">
        <v>204</v>
      </c>
      <c r="B41" s="64"/>
      <c r="C41" s="64"/>
      <c r="D41" s="64"/>
      <c r="E41" s="64"/>
      <c r="F41" s="60"/>
    </row>
    <row r="42" spans="1:6" x14ac:dyDescent="0.35">
      <c r="A42" s="63" t="s">
        <v>268</v>
      </c>
      <c r="B42" s="64"/>
      <c r="C42" s="64"/>
      <c r="D42" s="64"/>
      <c r="E42" s="64"/>
      <c r="F42" s="60"/>
    </row>
    <row r="43" spans="1:6" x14ac:dyDescent="0.35">
      <c r="A43" s="75" t="s">
        <v>48</v>
      </c>
      <c r="B43" s="76" t="s">
        <v>49</v>
      </c>
      <c r="C43" s="64"/>
      <c r="D43" s="64"/>
      <c r="E43" s="64"/>
      <c r="F43" s="60"/>
    </row>
    <row r="44" spans="1:6" ht="16" x14ac:dyDescent="0.35">
      <c r="A44" s="67" t="s">
        <v>53</v>
      </c>
      <c r="B44" s="77">
        <v>1.34</v>
      </c>
      <c r="C44" s="64"/>
      <c r="D44" s="64"/>
      <c r="E44" s="64"/>
      <c r="F44" s="60"/>
    </row>
    <row r="45" spans="1:6" x14ac:dyDescent="0.35">
      <c r="A45" s="67" t="s">
        <v>50</v>
      </c>
      <c r="B45" s="77">
        <v>1.41</v>
      </c>
      <c r="C45" s="64"/>
      <c r="D45" s="64"/>
      <c r="E45" s="64"/>
      <c r="F45" s="60"/>
    </row>
    <row r="46" spans="1:6" x14ac:dyDescent="0.35">
      <c r="A46" s="67" t="s">
        <v>51</v>
      </c>
      <c r="B46" s="77">
        <v>1.81</v>
      </c>
      <c r="C46" s="64"/>
      <c r="D46" s="64"/>
      <c r="E46" s="64"/>
      <c r="F46" s="60"/>
    </row>
    <row r="47" spans="1:6" x14ac:dyDescent="0.35">
      <c r="A47" s="67" t="s">
        <v>52</v>
      </c>
      <c r="B47" s="77">
        <v>1.52</v>
      </c>
      <c r="C47" s="64"/>
      <c r="D47" s="64"/>
      <c r="E47" s="64"/>
      <c r="F47" s="60"/>
    </row>
    <row r="48" spans="1:6" x14ac:dyDescent="0.35">
      <c r="A48" s="65"/>
      <c r="B48" s="72"/>
      <c r="C48" s="64"/>
      <c r="D48" s="64"/>
      <c r="E48" s="64"/>
      <c r="F48" s="60"/>
    </row>
    <row r="49" spans="1:6" ht="45" customHeight="1" x14ac:dyDescent="0.35">
      <c r="A49" s="290" t="s">
        <v>54</v>
      </c>
      <c r="B49" s="291"/>
      <c r="C49" s="64"/>
      <c r="D49" s="64"/>
      <c r="E49" s="64"/>
      <c r="F49" s="60"/>
    </row>
    <row r="50" spans="1:6" x14ac:dyDescent="0.35">
      <c r="A50" s="5" t="s">
        <v>204</v>
      </c>
      <c r="B50" s="64"/>
      <c r="C50" s="64"/>
      <c r="D50" s="64"/>
      <c r="E50" s="64"/>
      <c r="F50" s="60"/>
    </row>
    <row r="51" spans="1:6" x14ac:dyDescent="0.35">
      <c r="A51" s="63" t="s">
        <v>269</v>
      </c>
      <c r="B51" s="64"/>
      <c r="C51" s="64"/>
      <c r="D51" s="64"/>
      <c r="E51" s="64"/>
      <c r="F51" s="60"/>
    </row>
    <row r="52" spans="1:6" ht="30" customHeight="1" x14ac:dyDescent="0.35">
      <c r="A52" s="75" t="s">
        <v>48</v>
      </c>
      <c r="B52" s="76" t="s">
        <v>342</v>
      </c>
      <c r="C52" s="64"/>
      <c r="D52" s="64"/>
      <c r="E52" s="64"/>
      <c r="F52" s="60"/>
    </row>
    <row r="53" spans="1:6" ht="16" x14ac:dyDescent="0.35">
      <c r="A53" s="67" t="s">
        <v>77</v>
      </c>
      <c r="B53" s="78">
        <v>0.56000000000000005</v>
      </c>
      <c r="C53" s="64"/>
      <c r="D53" s="64"/>
      <c r="E53" s="64"/>
      <c r="F53" s="60"/>
    </row>
    <row r="54" spans="1:6" ht="16" x14ac:dyDescent="0.35">
      <c r="A54" s="67" t="s">
        <v>78</v>
      </c>
      <c r="B54" s="78">
        <v>1.27</v>
      </c>
      <c r="C54" s="64"/>
      <c r="D54" s="64"/>
      <c r="E54" s="64"/>
      <c r="F54" s="60"/>
    </row>
    <row r="55" spans="1:6" x14ac:dyDescent="0.35">
      <c r="A55" s="65"/>
      <c r="B55" s="72"/>
      <c r="C55" s="64"/>
      <c r="D55" s="64"/>
      <c r="E55" s="64"/>
      <c r="F55" s="60"/>
    </row>
    <row r="56" spans="1:6" ht="68.25" customHeight="1" x14ac:dyDescent="0.35">
      <c r="A56" s="282" t="s">
        <v>55</v>
      </c>
      <c r="B56" s="283"/>
      <c r="C56" s="64"/>
      <c r="D56" s="64"/>
      <c r="E56" s="64"/>
      <c r="F56" s="60"/>
    </row>
    <row r="57" spans="1:6" ht="72" customHeight="1" x14ac:dyDescent="0.35">
      <c r="A57" s="290" t="s">
        <v>56</v>
      </c>
      <c r="B57" s="291"/>
      <c r="C57" s="64"/>
      <c r="D57" s="64"/>
      <c r="E57" s="64"/>
      <c r="F57" s="60"/>
    </row>
    <row r="58" spans="1:6" x14ac:dyDescent="0.35">
      <c r="A58" s="5" t="s">
        <v>204</v>
      </c>
      <c r="B58" s="64"/>
      <c r="C58" s="64"/>
      <c r="D58" s="64"/>
      <c r="E58" s="64"/>
      <c r="F58" s="60"/>
    </row>
    <row r="59" spans="1:6" x14ac:dyDescent="0.35">
      <c r="A59" s="63" t="s">
        <v>270</v>
      </c>
      <c r="B59" s="64"/>
      <c r="C59" s="64"/>
      <c r="D59" s="64"/>
      <c r="E59" s="64"/>
      <c r="F59" s="60"/>
    </row>
    <row r="60" spans="1:6" x14ac:dyDescent="0.35">
      <c r="A60" s="79"/>
      <c r="B60" s="300" t="s">
        <v>343</v>
      </c>
      <c r="C60" s="301"/>
      <c r="D60" s="302"/>
      <c r="E60" s="64"/>
      <c r="F60" s="60"/>
    </row>
    <row r="61" spans="1:6" ht="17" x14ac:dyDescent="0.35">
      <c r="A61" s="79" t="s">
        <v>272</v>
      </c>
      <c r="B61" s="79" t="s">
        <v>283</v>
      </c>
      <c r="C61" s="79" t="s">
        <v>284</v>
      </c>
      <c r="D61" s="79" t="s">
        <v>285</v>
      </c>
      <c r="E61" s="64"/>
      <c r="F61" s="60"/>
    </row>
    <row r="62" spans="1:6" x14ac:dyDescent="0.35">
      <c r="A62" s="125" t="s">
        <v>273</v>
      </c>
      <c r="B62" s="125"/>
      <c r="C62" s="125"/>
      <c r="D62" s="126"/>
      <c r="E62" s="64"/>
      <c r="F62" s="60"/>
    </row>
    <row r="63" spans="1:6" x14ac:dyDescent="0.35">
      <c r="A63" s="67" t="s">
        <v>274</v>
      </c>
      <c r="B63" s="123">
        <v>262</v>
      </c>
      <c r="C63" s="123">
        <v>776</v>
      </c>
      <c r="D63" s="123">
        <v>29</v>
      </c>
      <c r="E63" s="64"/>
      <c r="F63" s="60"/>
    </row>
    <row r="64" spans="1:6" x14ac:dyDescent="0.35">
      <c r="A64" s="67" t="s">
        <v>275</v>
      </c>
      <c r="B64" s="123">
        <v>282</v>
      </c>
      <c r="C64" s="123">
        <v>106</v>
      </c>
      <c r="D64" s="123">
        <v>27</v>
      </c>
      <c r="E64" s="64"/>
      <c r="F64" s="60"/>
    </row>
    <row r="65" spans="1:6" x14ac:dyDescent="0.35">
      <c r="A65" s="67" t="s">
        <v>276</v>
      </c>
      <c r="B65" s="123">
        <v>718</v>
      </c>
      <c r="C65" s="123">
        <v>106</v>
      </c>
      <c r="D65" s="123">
        <v>27</v>
      </c>
      <c r="E65" s="64"/>
      <c r="F65" s="60"/>
    </row>
    <row r="66" spans="1:6" x14ac:dyDescent="0.35">
      <c r="A66" s="67" t="s">
        <v>277</v>
      </c>
      <c r="B66" s="123">
        <v>323</v>
      </c>
      <c r="C66" s="123">
        <v>106</v>
      </c>
      <c r="D66" s="123">
        <v>27</v>
      </c>
      <c r="E66" s="64"/>
      <c r="F66" s="60"/>
    </row>
    <row r="67" spans="1:6" x14ac:dyDescent="0.35">
      <c r="A67" s="125" t="s">
        <v>278</v>
      </c>
      <c r="B67" s="125"/>
      <c r="C67" s="125"/>
      <c r="D67" s="127"/>
      <c r="E67" s="64"/>
      <c r="F67" s="60"/>
    </row>
    <row r="68" spans="1:6" x14ac:dyDescent="0.35">
      <c r="A68" s="67" t="s">
        <v>274</v>
      </c>
      <c r="B68" s="123">
        <v>706</v>
      </c>
      <c r="C68" s="123">
        <v>2284</v>
      </c>
      <c r="D68" s="123">
        <v>290</v>
      </c>
      <c r="E68" s="64"/>
      <c r="F68" s="60"/>
    </row>
    <row r="69" spans="1:6" x14ac:dyDescent="0.35">
      <c r="A69" s="67" t="s">
        <v>275</v>
      </c>
      <c r="B69" s="123">
        <v>687</v>
      </c>
      <c r="C69" s="123">
        <v>755</v>
      </c>
      <c r="D69" s="123">
        <v>226</v>
      </c>
      <c r="E69" s="64"/>
      <c r="F69" s="60"/>
    </row>
    <row r="70" spans="1:6" x14ac:dyDescent="0.35">
      <c r="A70" s="67" t="s">
        <v>276</v>
      </c>
      <c r="B70" s="123">
        <v>1123</v>
      </c>
      <c r="C70" s="123">
        <v>755</v>
      </c>
      <c r="D70" s="123">
        <v>226</v>
      </c>
      <c r="E70" s="64"/>
      <c r="F70" s="60"/>
    </row>
    <row r="71" spans="1:6" x14ac:dyDescent="0.35">
      <c r="A71" s="67" t="s">
        <v>277</v>
      </c>
      <c r="B71" s="123">
        <v>728</v>
      </c>
      <c r="C71" s="123">
        <v>755</v>
      </c>
      <c r="D71" s="123">
        <v>226</v>
      </c>
      <c r="E71" s="64"/>
      <c r="F71" s="60"/>
    </row>
    <row r="72" spans="1:6" x14ac:dyDescent="0.35">
      <c r="A72" s="125" t="s">
        <v>279</v>
      </c>
      <c r="B72" s="125"/>
      <c r="C72" s="125"/>
      <c r="D72" s="128"/>
      <c r="E72" s="64"/>
      <c r="F72" s="60"/>
    </row>
    <row r="73" spans="1:6" x14ac:dyDescent="0.35">
      <c r="A73" s="67" t="s">
        <v>280</v>
      </c>
      <c r="B73" s="70">
        <v>1.07</v>
      </c>
      <c r="C73" s="124" t="s">
        <v>102</v>
      </c>
      <c r="D73" s="124" t="s">
        <v>102</v>
      </c>
      <c r="E73" s="64"/>
      <c r="F73" s="60"/>
    </row>
    <row r="74" spans="1:6" ht="28" customHeight="1" x14ac:dyDescent="0.35">
      <c r="A74" s="303" t="s">
        <v>282</v>
      </c>
      <c r="B74" s="303"/>
      <c r="C74" s="303"/>
      <c r="D74" s="304"/>
      <c r="E74" s="64"/>
      <c r="F74" s="60"/>
    </row>
    <row r="75" spans="1:6" ht="57.65" customHeight="1" x14ac:dyDescent="0.35">
      <c r="A75" s="298" t="s">
        <v>286</v>
      </c>
      <c r="B75" s="298"/>
      <c r="C75" s="298"/>
      <c r="D75" s="299"/>
      <c r="E75" s="64"/>
      <c r="F75" s="60"/>
    </row>
    <row r="76" spans="1:6" x14ac:dyDescent="0.35">
      <c r="A76" s="5" t="s">
        <v>204</v>
      </c>
      <c r="B76" s="64"/>
      <c r="C76" s="64"/>
      <c r="D76" s="64"/>
      <c r="E76" s="64"/>
      <c r="F76" s="60"/>
    </row>
    <row r="77" spans="1:6" x14ac:dyDescent="0.35">
      <c r="A77" s="63" t="s">
        <v>58</v>
      </c>
      <c r="B77" s="64"/>
      <c r="C77" s="64"/>
      <c r="D77" s="64"/>
      <c r="E77" s="64"/>
      <c r="F77" s="60"/>
    </row>
    <row r="78" spans="1:6" ht="17" x14ac:dyDescent="0.35">
      <c r="A78" s="79" t="s">
        <v>57</v>
      </c>
      <c r="B78" s="76" t="s">
        <v>206</v>
      </c>
      <c r="C78" s="76" t="s">
        <v>207</v>
      </c>
      <c r="D78" s="76" t="s">
        <v>208</v>
      </c>
      <c r="E78" s="76" t="s">
        <v>209</v>
      </c>
      <c r="F78" s="60"/>
    </row>
    <row r="79" spans="1:6" x14ac:dyDescent="0.35">
      <c r="A79" s="67">
        <v>2024</v>
      </c>
      <c r="B79" s="68">
        <v>20800</v>
      </c>
      <c r="C79" s="68">
        <v>55800</v>
      </c>
      <c r="D79" s="68">
        <v>998300</v>
      </c>
      <c r="E79" s="68">
        <v>241</v>
      </c>
      <c r="F79" s="60"/>
    </row>
    <row r="80" spans="1:6" x14ac:dyDescent="0.35">
      <c r="A80" s="67">
        <v>2025</v>
      </c>
      <c r="B80" s="68">
        <v>21100</v>
      </c>
      <c r="C80" s="68">
        <v>56800</v>
      </c>
      <c r="D80" s="68">
        <v>1011100</v>
      </c>
      <c r="E80" s="68">
        <v>246</v>
      </c>
      <c r="F80" s="60"/>
    </row>
    <row r="81" spans="1:6" x14ac:dyDescent="0.35">
      <c r="A81" s="67">
        <v>2026</v>
      </c>
      <c r="B81" s="68">
        <v>21400</v>
      </c>
      <c r="C81" s="68">
        <v>58100</v>
      </c>
      <c r="D81" s="68">
        <v>1029700</v>
      </c>
      <c r="E81" s="68">
        <v>250</v>
      </c>
      <c r="F81" s="60"/>
    </row>
    <row r="82" spans="1:6" x14ac:dyDescent="0.35">
      <c r="A82" s="67">
        <v>2027</v>
      </c>
      <c r="B82" s="68">
        <v>21800</v>
      </c>
      <c r="C82" s="68">
        <v>59500</v>
      </c>
      <c r="D82" s="68">
        <v>1048800</v>
      </c>
      <c r="E82" s="68">
        <v>254</v>
      </c>
      <c r="F82" s="60"/>
    </row>
    <row r="83" spans="1:6" x14ac:dyDescent="0.35">
      <c r="A83" s="67">
        <v>2028</v>
      </c>
      <c r="B83" s="68">
        <v>22100</v>
      </c>
      <c r="C83" s="68">
        <v>60800</v>
      </c>
      <c r="D83" s="68">
        <v>1068200</v>
      </c>
      <c r="E83" s="68">
        <v>259</v>
      </c>
      <c r="F83" s="60"/>
    </row>
    <row r="84" spans="1:6" x14ac:dyDescent="0.35">
      <c r="A84" s="67">
        <v>2029</v>
      </c>
      <c r="B84" s="68">
        <v>22500</v>
      </c>
      <c r="C84" s="68">
        <v>62300</v>
      </c>
      <c r="D84" s="68">
        <v>1087900</v>
      </c>
      <c r="E84" s="68">
        <v>262</v>
      </c>
      <c r="F84" s="60"/>
    </row>
    <row r="85" spans="1:6" x14ac:dyDescent="0.35">
      <c r="A85" s="67">
        <v>2030</v>
      </c>
      <c r="B85" s="68">
        <v>22900</v>
      </c>
      <c r="C85" s="68">
        <v>63700</v>
      </c>
      <c r="D85" s="68">
        <v>1108000</v>
      </c>
      <c r="E85" s="68">
        <v>267</v>
      </c>
      <c r="F85" s="60"/>
    </row>
    <row r="86" spans="1:6" x14ac:dyDescent="0.35">
      <c r="A86" s="67">
        <v>2031</v>
      </c>
      <c r="B86" s="68">
        <v>22900</v>
      </c>
      <c r="C86" s="68">
        <v>63700</v>
      </c>
      <c r="D86" s="68">
        <v>1108000</v>
      </c>
      <c r="E86" s="68">
        <v>272</v>
      </c>
      <c r="F86" s="60"/>
    </row>
    <row r="87" spans="1:6" x14ac:dyDescent="0.35">
      <c r="A87" s="67">
        <v>2032</v>
      </c>
      <c r="B87" s="68">
        <v>22900</v>
      </c>
      <c r="C87" s="68">
        <v>63700</v>
      </c>
      <c r="D87" s="68">
        <v>1108000</v>
      </c>
      <c r="E87" s="68">
        <v>275</v>
      </c>
      <c r="F87" s="60"/>
    </row>
    <row r="88" spans="1:6" x14ac:dyDescent="0.35">
      <c r="A88" s="67">
        <v>2033</v>
      </c>
      <c r="B88" s="68">
        <v>22900</v>
      </c>
      <c r="C88" s="68">
        <v>63700</v>
      </c>
      <c r="D88" s="68">
        <v>1108000</v>
      </c>
      <c r="E88" s="68">
        <v>280</v>
      </c>
      <c r="F88" s="60"/>
    </row>
    <row r="89" spans="1:6" x14ac:dyDescent="0.35">
      <c r="A89" s="67">
        <v>2034</v>
      </c>
      <c r="B89" s="68">
        <v>22900</v>
      </c>
      <c r="C89" s="68">
        <v>63700</v>
      </c>
      <c r="D89" s="68">
        <v>1108000</v>
      </c>
      <c r="E89" s="68">
        <v>284</v>
      </c>
      <c r="F89" s="60"/>
    </row>
    <row r="90" spans="1:6" x14ac:dyDescent="0.35">
      <c r="A90" s="67">
        <v>2035</v>
      </c>
      <c r="B90" s="68">
        <v>22900</v>
      </c>
      <c r="C90" s="68">
        <v>63700</v>
      </c>
      <c r="D90" s="68">
        <v>1108000</v>
      </c>
      <c r="E90" s="68">
        <v>288</v>
      </c>
      <c r="F90" s="60"/>
    </row>
    <row r="91" spans="1:6" x14ac:dyDescent="0.35">
      <c r="A91" s="67">
        <v>2036</v>
      </c>
      <c r="B91" s="68">
        <v>22900</v>
      </c>
      <c r="C91" s="68">
        <v>63700</v>
      </c>
      <c r="D91" s="68">
        <v>1108000</v>
      </c>
      <c r="E91" s="68">
        <v>292</v>
      </c>
      <c r="F91" s="60"/>
    </row>
    <row r="92" spans="1:6" x14ac:dyDescent="0.35">
      <c r="A92" s="67">
        <v>2037</v>
      </c>
      <c r="B92" s="68">
        <v>22900</v>
      </c>
      <c r="C92" s="68">
        <v>63700</v>
      </c>
      <c r="D92" s="68">
        <v>1108000</v>
      </c>
      <c r="E92" s="68">
        <v>297</v>
      </c>
      <c r="F92" s="60"/>
    </row>
    <row r="93" spans="1:6" x14ac:dyDescent="0.35">
      <c r="A93" s="67">
        <v>2038</v>
      </c>
      <c r="B93" s="68">
        <v>22900</v>
      </c>
      <c r="C93" s="68">
        <v>63700</v>
      </c>
      <c r="D93" s="68">
        <v>1108000</v>
      </c>
      <c r="E93" s="68">
        <v>301</v>
      </c>
      <c r="F93" s="60"/>
    </row>
    <row r="94" spans="1:6" x14ac:dyDescent="0.35">
      <c r="A94" s="67">
        <v>2039</v>
      </c>
      <c r="B94" s="68">
        <v>22900</v>
      </c>
      <c r="C94" s="68">
        <v>63700</v>
      </c>
      <c r="D94" s="68">
        <v>1108000</v>
      </c>
      <c r="E94" s="68">
        <v>305</v>
      </c>
      <c r="F94" s="60"/>
    </row>
    <row r="95" spans="1:6" x14ac:dyDescent="0.35">
      <c r="A95" s="67">
        <v>2040</v>
      </c>
      <c r="B95" s="68">
        <v>22900</v>
      </c>
      <c r="C95" s="68">
        <v>63700</v>
      </c>
      <c r="D95" s="68">
        <v>1108000</v>
      </c>
      <c r="E95" s="68">
        <v>310</v>
      </c>
      <c r="F95" s="60"/>
    </row>
    <row r="96" spans="1:6" x14ac:dyDescent="0.35">
      <c r="A96" s="67">
        <v>2041</v>
      </c>
      <c r="B96" s="68">
        <v>22900</v>
      </c>
      <c r="C96" s="68">
        <v>63700</v>
      </c>
      <c r="D96" s="68">
        <v>1108000</v>
      </c>
      <c r="E96" s="68">
        <v>314</v>
      </c>
      <c r="F96" s="60"/>
    </row>
    <row r="97" spans="1:6" x14ac:dyDescent="0.35">
      <c r="A97" s="67">
        <v>2042</v>
      </c>
      <c r="B97" s="68">
        <v>22900</v>
      </c>
      <c r="C97" s="68">
        <v>63700</v>
      </c>
      <c r="D97" s="68">
        <v>1108000</v>
      </c>
      <c r="E97" s="68">
        <v>319</v>
      </c>
      <c r="F97" s="60"/>
    </row>
    <row r="98" spans="1:6" x14ac:dyDescent="0.35">
      <c r="A98" s="67">
        <v>2043</v>
      </c>
      <c r="B98" s="68">
        <v>22900</v>
      </c>
      <c r="C98" s="68">
        <v>63700</v>
      </c>
      <c r="D98" s="68">
        <v>1108000</v>
      </c>
      <c r="E98" s="68">
        <v>324</v>
      </c>
      <c r="F98" s="60"/>
    </row>
    <row r="99" spans="1:6" x14ac:dyDescent="0.35">
      <c r="A99" s="67">
        <v>2044</v>
      </c>
      <c r="B99" s="68">
        <v>22900</v>
      </c>
      <c r="C99" s="68">
        <v>63700</v>
      </c>
      <c r="D99" s="68">
        <v>1108000</v>
      </c>
      <c r="E99" s="68">
        <v>328</v>
      </c>
      <c r="F99" s="60"/>
    </row>
    <row r="100" spans="1:6" x14ac:dyDescent="0.35">
      <c r="A100" s="67">
        <v>2045</v>
      </c>
      <c r="B100" s="68">
        <v>22900</v>
      </c>
      <c r="C100" s="68">
        <v>63700</v>
      </c>
      <c r="D100" s="68">
        <v>1108000</v>
      </c>
      <c r="E100" s="68">
        <v>333</v>
      </c>
      <c r="F100" s="60"/>
    </row>
    <row r="101" spans="1:6" x14ac:dyDescent="0.35">
      <c r="A101" s="67">
        <v>2046</v>
      </c>
      <c r="B101" s="68">
        <v>22900</v>
      </c>
      <c r="C101" s="68">
        <v>63700</v>
      </c>
      <c r="D101" s="68">
        <v>1108000</v>
      </c>
      <c r="E101" s="68">
        <v>338</v>
      </c>
      <c r="F101" s="60"/>
    </row>
    <row r="102" spans="1:6" x14ac:dyDescent="0.35">
      <c r="A102" s="67">
        <v>2047</v>
      </c>
      <c r="B102" s="68">
        <v>22900</v>
      </c>
      <c r="C102" s="68">
        <v>63700</v>
      </c>
      <c r="D102" s="68">
        <v>1108000</v>
      </c>
      <c r="E102" s="68">
        <v>344</v>
      </c>
      <c r="F102" s="60"/>
    </row>
    <row r="103" spans="1:6" x14ac:dyDescent="0.35">
      <c r="A103" s="67">
        <v>2048</v>
      </c>
      <c r="B103" s="68">
        <v>22900</v>
      </c>
      <c r="C103" s="68">
        <v>63700</v>
      </c>
      <c r="D103" s="68">
        <v>1108000</v>
      </c>
      <c r="E103" s="68">
        <v>348</v>
      </c>
      <c r="F103" s="60"/>
    </row>
    <row r="104" spans="1:6" x14ac:dyDescent="0.35">
      <c r="A104" s="67">
        <v>2049</v>
      </c>
      <c r="B104" s="68">
        <v>22900</v>
      </c>
      <c r="C104" s="68">
        <v>63700</v>
      </c>
      <c r="D104" s="68">
        <v>1108000</v>
      </c>
      <c r="E104" s="68">
        <v>353</v>
      </c>
      <c r="F104" s="60"/>
    </row>
    <row r="105" spans="1:6" x14ac:dyDescent="0.35">
      <c r="A105" s="67">
        <v>2050</v>
      </c>
      <c r="B105" s="68">
        <v>22900</v>
      </c>
      <c r="C105" s="68">
        <v>63700</v>
      </c>
      <c r="D105" s="68">
        <v>1108000</v>
      </c>
      <c r="E105" s="68">
        <v>357</v>
      </c>
      <c r="F105" s="60"/>
    </row>
    <row r="106" spans="1:6" x14ac:dyDescent="0.35">
      <c r="A106" s="67">
        <v>2051</v>
      </c>
      <c r="B106" s="68">
        <v>22900</v>
      </c>
      <c r="C106" s="68">
        <v>63700</v>
      </c>
      <c r="D106" s="68">
        <v>1108000</v>
      </c>
      <c r="E106" s="68">
        <v>362</v>
      </c>
      <c r="F106" s="60"/>
    </row>
    <row r="107" spans="1:6" x14ac:dyDescent="0.35">
      <c r="A107" s="67">
        <v>2052</v>
      </c>
      <c r="B107" s="68">
        <v>22900</v>
      </c>
      <c r="C107" s="68">
        <v>63700</v>
      </c>
      <c r="D107" s="68">
        <v>1108000</v>
      </c>
      <c r="E107" s="68">
        <v>366</v>
      </c>
      <c r="F107" s="60"/>
    </row>
    <row r="108" spans="1:6" x14ac:dyDescent="0.35">
      <c r="A108" s="67">
        <v>2053</v>
      </c>
      <c r="B108" s="68">
        <v>22900</v>
      </c>
      <c r="C108" s="68">
        <v>63700</v>
      </c>
      <c r="D108" s="68">
        <v>1108000</v>
      </c>
      <c r="E108" s="82">
        <v>370</v>
      </c>
      <c r="F108" s="60"/>
    </row>
    <row r="109" spans="1:6" x14ac:dyDescent="0.35">
      <c r="A109" s="67">
        <v>2054</v>
      </c>
      <c r="B109" s="68">
        <v>22900</v>
      </c>
      <c r="C109" s="68">
        <v>63700</v>
      </c>
      <c r="D109" s="68">
        <v>1108000</v>
      </c>
      <c r="E109" s="82">
        <v>375</v>
      </c>
      <c r="F109" s="60"/>
    </row>
    <row r="110" spans="1:6" x14ac:dyDescent="0.35">
      <c r="A110" s="80"/>
      <c r="B110" s="81"/>
      <c r="C110" s="81"/>
      <c r="D110" s="81"/>
      <c r="E110" s="82"/>
      <c r="F110" s="60"/>
    </row>
    <row r="111" spans="1:6" x14ac:dyDescent="0.35">
      <c r="A111" s="292" t="s">
        <v>271</v>
      </c>
      <c r="B111" s="293"/>
      <c r="C111" s="293"/>
      <c r="D111" s="293"/>
      <c r="E111" s="294"/>
      <c r="F111" s="60"/>
    </row>
    <row r="112" spans="1:6" ht="17" x14ac:dyDescent="0.35">
      <c r="A112" s="295" t="s">
        <v>79</v>
      </c>
      <c r="B112" s="296"/>
      <c r="C112" s="296"/>
      <c r="D112" s="296"/>
      <c r="E112" s="297"/>
      <c r="F112" s="60"/>
    </row>
    <row r="113" spans="1:6" x14ac:dyDescent="0.35">
      <c r="A113" s="5" t="s">
        <v>204</v>
      </c>
      <c r="B113" s="64"/>
      <c r="C113" s="64"/>
      <c r="D113" s="64"/>
      <c r="E113" s="64"/>
      <c r="F113" s="60"/>
    </row>
    <row r="114" spans="1:6" x14ac:dyDescent="0.35">
      <c r="A114" s="63" t="s">
        <v>59</v>
      </c>
      <c r="B114" s="64"/>
      <c r="C114" s="64"/>
      <c r="D114" s="64"/>
      <c r="E114" s="64"/>
      <c r="F114" s="60"/>
    </row>
    <row r="115" spans="1:6" ht="34.5" customHeight="1" x14ac:dyDescent="0.35">
      <c r="A115" s="75" t="s">
        <v>60</v>
      </c>
      <c r="B115" s="76" t="s">
        <v>344</v>
      </c>
      <c r="C115" s="64"/>
      <c r="D115" s="64"/>
      <c r="E115" s="64"/>
      <c r="F115" s="60"/>
    </row>
    <row r="116" spans="1:6" x14ac:dyDescent="0.35">
      <c r="A116" s="83">
        <v>2004</v>
      </c>
      <c r="B116" s="77">
        <v>1.55</v>
      </c>
      <c r="C116" s="64"/>
      <c r="D116" s="64"/>
      <c r="E116" s="64"/>
      <c r="F116" s="60"/>
    </row>
    <row r="117" spans="1:6" x14ac:dyDescent="0.35">
      <c r="A117" s="83">
        <v>2005</v>
      </c>
      <c r="B117" s="77">
        <v>1.5</v>
      </c>
      <c r="C117" s="64"/>
      <c r="D117" s="64"/>
      <c r="E117" s="64"/>
      <c r="F117" s="60"/>
    </row>
    <row r="118" spans="1:6" x14ac:dyDescent="0.35">
      <c r="A118" s="83">
        <v>2006</v>
      </c>
      <c r="B118" s="77">
        <v>1.45</v>
      </c>
      <c r="C118" s="64"/>
      <c r="D118" s="64"/>
      <c r="E118" s="64"/>
      <c r="F118" s="60"/>
    </row>
    <row r="119" spans="1:6" x14ac:dyDescent="0.35">
      <c r="A119" s="83">
        <v>2007</v>
      </c>
      <c r="B119" s="77">
        <v>1.42</v>
      </c>
      <c r="C119" s="64"/>
      <c r="D119" s="64"/>
      <c r="E119" s="64"/>
      <c r="F119" s="60"/>
    </row>
    <row r="120" spans="1:6" x14ac:dyDescent="0.35">
      <c r="A120" s="83">
        <v>2008</v>
      </c>
      <c r="B120" s="77">
        <v>1.39</v>
      </c>
      <c r="C120" s="64"/>
      <c r="D120" s="64"/>
      <c r="E120" s="64"/>
      <c r="F120" s="60"/>
    </row>
    <row r="121" spans="1:6" x14ac:dyDescent="0.35">
      <c r="A121" s="83">
        <v>2009</v>
      </c>
      <c r="B121" s="77">
        <v>1.38</v>
      </c>
      <c r="C121" s="64"/>
      <c r="D121" s="64"/>
      <c r="E121" s="64"/>
      <c r="F121" s="60"/>
    </row>
    <row r="122" spans="1:6" x14ac:dyDescent="0.35">
      <c r="A122" s="83">
        <v>2010</v>
      </c>
      <c r="B122" s="77">
        <v>1.36</v>
      </c>
      <c r="C122" s="64"/>
      <c r="D122" s="64"/>
      <c r="E122" s="64"/>
      <c r="F122" s="60"/>
    </row>
    <row r="123" spans="1:6" x14ac:dyDescent="0.35">
      <c r="A123" s="83">
        <v>2011</v>
      </c>
      <c r="B123" s="77">
        <v>1.34</v>
      </c>
      <c r="C123" s="64"/>
      <c r="D123" s="64"/>
      <c r="E123" s="64"/>
      <c r="F123" s="60"/>
    </row>
    <row r="124" spans="1:6" x14ac:dyDescent="0.35">
      <c r="A124" s="83">
        <v>2012</v>
      </c>
      <c r="B124" s="77">
        <v>1.31</v>
      </c>
      <c r="C124" s="64"/>
      <c r="D124" s="64"/>
      <c r="E124" s="64"/>
      <c r="F124" s="60"/>
    </row>
    <row r="125" spans="1:6" x14ac:dyDescent="0.35">
      <c r="A125" s="83">
        <v>2013</v>
      </c>
      <c r="B125" s="77">
        <v>1.29</v>
      </c>
      <c r="C125" s="64"/>
      <c r="D125" s="64"/>
      <c r="E125" s="64"/>
      <c r="F125" s="60"/>
    </row>
    <row r="126" spans="1:6" x14ac:dyDescent="0.35">
      <c r="A126" s="83">
        <v>2014</v>
      </c>
      <c r="B126" s="77">
        <v>1.27</v>
      </c>
      <c r="C126" s="64"/>
      <c r="D126" s="64"/>
      <c r="E126" s="64"/>
      <c r="F126" s="60"/>
    </row>
    <row r="127" spans="1:6" x14ac:dyDescent="0.35">
      <c r="A127" s="83">
        <v>2015</v>
      </c>
      <c r="B127" s="77">
        <v>1.26</v>
      </c>
      <c r="C127" s="64"/>
      <c r="D127" s="64"/>
      <c r="E127" s="64"/>
      <c r="F127" s="60"/>
    </row>
    <row r="128" spans="1:6" x14ac:dyDescent="0.35">
      <c r="A128" s="83">
        <v>2016</v>
      </c>
      <c r="B128" s="77">
        <v>1.24</v>
      </c>
      <c r="C128" s="64"/>
      <c r="D128" s="64"/>
      <c r="E128" s="64"/>
      <c r="F128" s="60"/>
    </row>
    <row r="129" spans="1:6" x14ac:dyDescent="0.35">
      <c r="A129" s="83">
        <v>2017</v>
      </c>
      <c r="B129" s="77">
        <v>1.22</v>
      </c>
      <c r="C129" s="64"/>
      <c r="D129" s="64"/>
      <c r="E129" s="64"/>
      <c r="F129" s="60"/>
    </row>
    <row r="130" spans="1:6" x14ac:dyDescent="0.35">
      <c r="A130" s="83">
        <v>2018</v>
      </c>
      <c r="B130" s="77">
        <v>1.2</v>
      </c>
      <c r="C130" s="64"/>
      <c r="D130" s="64"/>
      <c r="E130" s="64"/>
      <c r="F130" s="60"/>
    </row>
    <row r="131" spans="1:6" x14ac:dyDescent="0.35">
      <c r="A131" s="83">
        <v>2019</v>
      </c>
      <c r="B131" s="77">
        <v>1.18</v>
      </c>
      <c r="C131" s="64"/>
      <c r="D131" s="64"/>
      <c r="E131" s="64"/>
      <c r="F131" s="60"/>
    </row>
    <row r="132" spans="1:6" x14ac:dyDescent="0.35">
      <c r="A132" s="83">
        <v>2020</v>
      </c>
      <c r="B132" s="77">
        <v>1.1599999999999999</v>
      </c>
      <c r="C132" s="64"/>
      <c r="D132" s="64"/>
      <c r="E132" s="64"/>
      <c r="F132" s="60"/>
    </row>
    <row r="133" spans="1:6" x14ac:dyDescent="0.35">
      <c r="A133" s="83">
        <v>2021</v>
      </c>
      <c r="B133" s="77">
        <v>1.1100000000000001</v>
      </c>
      <c r="C133" s="64"/>
      <c r="D133" s="64"/>
      <c r="E133" s="64"/>
      <c r="F133" s="60"/>
    </row>
    <row r="134" spans="1:6" x14ac:dyDescent="0.35">
      <c r="A134" s="83">
        <v>2022</v>
      </c>
      <c r="B134" s="77">
        <v>1.04</v>
      </c>
      <c r="C134" s="64"/>
      <c r="D134" s="64"/>
      <c r="E134" s="64"/>
      <c r="F134" s="60"/>
    </row>
    <row r="135" spans="1:6" x14ac:dyDescent="0.35">
      <c r="A135" s="83">
        <v>2023</v>
      </c>
      <c r="B135" s="77">
        <v>1</v>
      </c>
      <c r="C135" s="64"/>
      <c r="D135" s="64"/>
      <c r="E135" s="64"/>
      <c r="F135" s="60"/>
    </row>
    <row r="136" spans="1:6" x14ac:dyDescent="0.35">
      <c r="A136" s="5" t="s">
        <v>204</v>
      </c>
      <c r="B136" s="64"/>
      <c r="C136" s="64"/>
      <c r="D136" s="64"/>
      <c r="E136" s="64"/>
      <c r="F136" s="60"/>
    </row>
    <row r="137" spans="1:6" x14ac:dyDescent="0.35">
      <c r="A137" s="63" t="s">
        <v>61</v>
      </c>
      <c r="B137" s="64"/>
      <c r="C137" s="64"/>
      <c r="D137" s="64"/>
      <c r="E137" s="64"/>
      <c r="F137" s="60"/>
    </row>
    <row r="138" spans="1:6" ht="51.75" customHeight="1" x14ac:dyDescent="0.35">
      <c r="A138" s="75" t="s">
        <v>62</v>
      </c>
      <c r="B138" s="76" t="s">
        <v>345</v>
      </c>
      <c r="C138" s="64"/>
      <c r="D138" s="64"/>
      <c r="E138" s="64"/>
      <c r="F138" s="60"/>
    </row>
    <row r="139" spans="1:6" ht="16" x14ac:dyDescent="0.35">
      <c r="A139" s="84" t="s">
        <v>80</v>
      </c>
      <c r="B139" s="70">
        <v>0.11</v>
      </c>
      <c r="C139" s="64" t="s">
        <v>371</v>
      </c>
      <c r="D139" s="64"/>
      <c r="E139" s="64"/>
      <c r="F139" s="60"/>
    </row>
    <row r="140" spans="1:6" x14ac:dyDescent="0.35">
      <c r="A140" s="84" t="s">
        <v>63</v>
      </c>
      <c r="B140" s="70">
        <v>1.2</v>
      </c>
      <c r="C140" s="64"/>
      <c r="D140" s="64"/>
      <c r="E140" s="64"/>
      <c r="F140" s="60"/>
    </row>
    <row r="141" spans="1:6" x14ac:dyDescent="0.35">
      <c r="A141" s="84" t="s">
        <v>81</v>
      </c>
      <c r="B141" s="70">
        <v>0.1</v>
      </c>
      <c r="D141" s="64"/>
      <c r="E141" s="64"/>
      <c r="F141" s="60"/>
    </row>
    <row r="142" spans="1:6" ht="30" customHeight="1" x14ac:dyDescent="0.35">
      <c r="A142" s="85" t="s">
        <v>64</v>
      </c>
      <c r="B142" s="86">
        <v>1.1000000000000001E-3</v>
      </c>
      <c r="C142" s="64"/>
      <c r="D142" s="64"/>
      <c r="E142" s="64"/>
      <c r="F142" s="60"/>
    </row>
    <row r="143" spans="1:6" x14ac:dyDescent="0.35">
      <c r="A143" s="5" t="s">
        <v>204</v>
      </c>
      <c r="B143" s="4"/>
      <c r="C143" s="64"/>
      <c r="D143" s="64"/>
      <c r="E143" s="64"/>
      <c r="F143" s="60"/>
    </row>
    <row r="144" spans="1:6" ht="30" x14ac:dyDescent="0.35">
      <c r="A144" s="75" t="s">
        <v>62</v>
      </c>
      <c r="B144" s="76" t="s">
        <v>346</v>
      </c>
      <c r="C144" s="64"/>
      <c r="D144" s="64"/>
      <c r="E144" s="64"/>
      <c r="F144" s="60"/>
    </row>
    <row r="145" spans="1:6" ht="34.5" customHeight="1" x14ac:dyDescent="0.35">
      <c r="A145" s="85" t="s">
        <v>82</v>
      </c>
      <c r="B145" s="70">
        <v>0.21</v>
      </c>
      <c r="C145" s="64" t="s">
        <v>371</v>
      </c>
      <c r="D145" s="64"/>
      <c r="E145" s="64"/>
      <c r="F145" s="60"/>
    </row>
    <row r="146" spans="1:6" ht="35.25" customHeight="1" x14ac:dyDescent="0.35">
      <c r="A146" s="85" t="s">
        <v>65</v>
      </c>
      <c r="B146" s="70">
        <v>0.55000000000000004</v>
      </c>
      <c r="C146" s="64" t="s">
        <v>371</v>
      </c>
      <c r="D146" s="64"/>
      <c r="E146" s="64"/>
      <c r="F146" s="60"/>
    </row>
    <row r="147" spans="1:6" x14ac:dyDescent="0.35">
      <c r="A147" s="87"/>
      <c r="B147" s="88"/>
      <c r="C147" s="64"/>
      <c r="D147" s="64"/>
      <c r="E147" s="64"/>
      <c r="F147" s="60"/>
    </row>
    <row r="148" spans="1:6" ht="111" customHeight="1" x14ac:dyDescent="0.35">
      <c r="A148" s="282" t="s">
        <v>66</v>
      </c>
      <c r="B148" s="312"/>
      <c r="C148" s="64"/>
      <c r="D148" s="64"/>
      <c r="E148" s="64"/>
      <c r="F148" s="60"/>
    </row>
    <row r="149" spans="1:6" ht="36" customHeight="1" thickBot="1" x14ac:dyDescent="0.4">
      <c r="A149" s="284" t="s">
        <v>67</v>
      </c>
      <c r="B149" s="285"/>
      <c r="C149" s="64"/>
      <c r="D149" s="64"/>
      <c r="E149" s="64"/>
      <c r="F149" s="60"/>
    </row>
    <row r="150" spans="1:6" x14ac:dyDescent="0.35">
      <c r="A150" s="5" t="s">
        <v>204</v>
      </c>
      <c r="B150" s="64"/>
      <c r="C150" s="64"/>
      <c r="D150" s="64"/>
      <c r="E150" s="64"/>
      <c r="F150" s="60"/>
    </row>
    <row r="151" spans="1:6" x14ac:dyDescent="0.35">
      <c r="A151" s="63" t="s">
        <v>68</v>
      </c>
      <c r="B151" s="64"/>
      <c r="C151" s="64"/>
      <c r="D151" s="64"/>
      <c r="E151" s="64"/>
      <c r="F151" s="60"/>
    </row>
    <row r="152" spans="1:6" ht="36.75" customHeight="1" x14ac:dyDescent="0.35">
      <c r="A152" s="75" t="s">
        <v>69</v>
      </c>
      <c r="B152" s="76" t="s">
        <v>347</v>
      </c>
      <c r="C152" s="64"/>
      <c r="D152" s="64"/>
      <c r="E152" s="64"/>
      <c r="F152" s="60"/>
    </row>
    <row r="153" spans="1:6" x14ac:dyDescent="0.35">
      <c r="A153" s="67" t="s">
        <v>70</v>
      </c>
      <c r="B153" s="78">
        <v>1.7</v>
      </c>
      <c r="C153" s="64" t="s">
        <v>371</v>
      </c>
      <c r="D153" s="64"/>
      <c r="E153" s="64"/>
      <c r="F153" s="60"/>
    </row>
    <row r="154" spans="1:6" ht="16" x14ac:dyDescent="0.35">
      <c r="A154" s="67" t="s">
        <v>74</v>
      </c>
      <c r="B154" s="78">
        <v>2.13</v>
      </c>
      <c r="C154" s="64"/>
      <c r="D154" s="64"/>
      <c r="E154" s="64"/>
      <c r="F154" s="60"/>
    </row>
    <row r="155" spans="1:6" x14ac:dyDescent="0.35">
      <c r="A155" s="67" t="s">
        <v>71</v>
      </c>
      <c r="B155" s="78">
        <v>2.02</v>
      </c>
      <c r="C155" s="64"/>
      <c r="D155" s="64"/>
      <c r="E155" s="64"/>
      <c r="F155" s="60"/>
    </row>
    <row r="156" spans="1:6" x14ac:dyDescent="0.35">
      <c r="A156" s="67" t="s">
        <v>72</v>
      </c>
      <c r="B156" s="78">
        <v>0.32</v>
      </c>
      <c r="C156" s="64"/>
      <c r="D156" s="64"/>
      <c r="E156" s="64"/>
      <c r="F156" s="60"/>
    </row>
    <row r="157" spans="1:6" x14ac:dyDescent="0.35">
      <c r="A157" s="67" t="s">
        <v>73</v>
      </c>
      <c r="B157" s="78">
        <v>2.02</v>
      </c>
      <c r="C157" s="64"/>
      <c r="D157" s="64"/>
      <c r="E157" s="64"/>
      <c r="F157" s="60"/>
    </row>
    <row r="158" spans="1:6" x14ac:dyDescent="0.35">
      <c r="A158" s="65"/>
      <c r="B158" s="4"/>
      <c r="C158" s="64"/>
      <c r="D158" s="64"/>
      <c r="E158" s="64"/>
      <c r="F158" s="60"/>
    </row>
    <row r="159" spans="1:6" ht="153.75" customHeight="1" x14ac:dyDescent="0.35">
      <c r="A159" s="282" t="s">
        <v>76</v>
      </c>
      <c r="B159" s="312"/>
      <c r="C159" s="64"/>
      <c r="D159" s="64"/>
      <c r="E159" s="64"/>
      <c r="F159" s="60"/>
    </row>
    <row r="160" spans="1:6" ht="50.25" customHeight="1" thickBot="1" x14ac:dyDescent="0.4">
      <c r="A160" s="284" t="s">
        <v>75</v>
      </c>
      <c r="B160" s="285"/>
      <c r="C160" s="64"/>
      <c r="D160" s="64"/>
      <c r="E160" s="64"/>
      <c r="F160" s="60"/>
    </row>
    <row r="161" spans="1:6" x14ac:dyDescent="0.35">
      <c r="A161" s="5" t="s">
        <v>204</v>
      </c>
      <c r="F161" s="60"/>
    </row>
    <row r="162" spans="1:6" x14ac:dyDescent="0.35">
      <c r="A162" s="63" t="s">
        <v>83</v>
      </c>
      <c r="F162" s="60"/>
    </row>
    <row r="163" spans="1:6" ht="15.75" customHeight="1" x14ac:dyDescent="0.35">
      <c r="A163" s="310" t="s">
        <v>84</v>
      </c>
      <c r="B163" s="311" t="s">
        <v>348</v>
      </c>
      <c r="C163" s="311"/>
      <c r="D163" s="311"/>
      <c r="F163" s="60"/>
    </row>
    <row r="164" spans="1:6" ht="37.5" customHeight="1" x14ac:dyDescent="0.35">
      <c r="A164" s="310"/>
      <c r="B164" s="76" t="s">
        <v>86</v>
      </c>
      <c r="C164" s="76" t="s">
        <v>88</v>
      </c>
      <c r="D164" s="76" t="s">
        <v>87</v>
      </c>
      <c r="F164" s="60"/>
    </row>
    <row r="165" spans="1:6" x14ac:dyDescent="0.35">
      <c r="A165" s="89" t="s">
        <v>89</v>
      </c>
      <c r="B165" s="90">
        <v>0.04</v>
      </c>
      <c r="C165" s="90">
        <v>0.04</v>
      </c>
      <c r="D165" s="90">
        <v>7.0000000000000007E-2</v>
      </c>
      <c r="F165" s="60"/>
    </row>
    <row r="166" spans="1:6" x14ac:dyDescent="0.35">
      <c r="A166" s="89" t="s">
        <v>90</v>
      </c>
      <c r="B166" s="90">
        <v>0.35</v>
      </c>
      <c r="C166" s="90">
        <v>0.17</v>
      </c>
      <c r="D166" s="90">
        <v>0.97</v>
      </c>
      <c r="F166" s="60"/>
    </row>
    <row r="167" spans="1:6" x14ac:dyDescent="0.35">
      <c r="A167" s="89" t="s">
        <v>91</v>
      </c>
      <c r="B167" s="90">
        <v>0.26</v>
      </c>
      <c r="C167" s="90">
        <v>0.26</v>
      </c>
      <c r="D167" s="90">
        <v>0.12</v>
      </c>
      <c r="F167" s="60"/>
    </row>
    <row r="168" spans="1:6" x14ac:dyDescent="0.35">
      <c r="A168" s="89" t="s">
        <v>92</v>
      </c>
      <c r="B168" s="90">
        <v>0.35</v>
      </c>
      <c r="C168" s="90">
        <v>0.06</v>
      </c>
      <c r="D168" s="90">
        <v>0.11</v>
      </c>
      <c r="F168" s="60"/>
    </row>
    <row r="169" spans="1:6" ht="16" x14ac:dyDescent="0.35">
      <c r="A169" s="89" t="s">
        <v>108</v>
      </c>
      <c r="B169" s="90">
        <v>0.21</v>
      </c>
      <c r="C169" s="90">
        <v>0.15</v>
      </c>
      <c r="D169" s="90">
        <v>0.14000000000000001</v>
      </c>
      <c r="F169" s="60"/>
    </row>
    <row r="170" spans="1:6" ht="16" x14ac:dyDescent="0.35">
      <c r="A170" s="89" t="s">
        <v>109</v>
      </c>
      <c r="B170" s="90">
        <v>0.28000000000000003</v>
      </c>
      <c r="C170" s="90">
        <v>0.18</v>
      </c>
      <c r="D170" s="90">
        <v>0.14000000000000001</v>
      </c>
      <c r="F170" s="60"/>
    </row>
    <row r="171" spans="1:6" x14ac:dyDescent="0.35">
      <c r="A171" s="89" t="s">
        <v>93</v>
      </c>
      <c r="B171" s="90">
        <v>0.16</v>
      </c>
      <c r="C171" s="90">
        <v>0.16</v>
      </c>
      <c r="D171" s="90">
        <v>0.12</v>
      </c>
      <c r="F171" s="60"/>
    </row>
    <row r="172" spans="1:6" x14ac:dyDescent="0.35">
      <c r="A172" s="89" t="s">
        <v>94</v>
      </c>
      <c r="B172" s="90">
        <v>0.12</v>
      </c>
      <c r="C172" s="90">
        <v>0.12</v>
      </c>
      <c r="D172" s="90">
        <v>7.0000000000000007E-2</v>
      </c>
      <c r="F172" s="60"/>
    </row>
    <row r="173" spans="1:6" x14ac:dyDescent="0.35">
      <c r="A173" s="89" t="s">
        <v>95</v>
      </c>
      <c r="B173" s="90">
        <v>0.08</v>
      </c>
      <c r="C173" s="90">
        <v>0.03</v>
      </c>
      <c r="D173" s="90">
        <v>0.2</v>
      </c>
      <c r="F173" s="60"/>
    </row>
    <row r="174" spans="1:6" x14ac:dyDescent="0.35">
      <c r="A174" s="89" t="s">
        <v>96</v>
      </c>
      <c r="B174" s="90">
        <v>0.36</v>
      </c>
      <c r="C174" s="90">
        <v>0.36</v>
      </c>
      <c r="D174" s="90">
        <v>0.23</v>
      </c>
      <c r="F174" s="60"/>
    </row>
    <row r="175" spans="1:6" x14ac:dyDescent="0.35">
      <c r="A175" s="89" t="s">
        <v>97</v>
      </c>
      <c r="B175" s="90">
        <v>0.47</v>
      </c>
      <c r="C175" s="90">
        <v>0.08</v>
      </c>
      <c r="D175" s="90">
        <v>0.08</v>
      </c>
      <c r="F175" s="60"/>
    </row>
    <row r="176" spans="1:6" x14ac:dyDescent="0.35">
      <c r="A176" s="89" t="s">
        <v>98</v>
      </c>
      <c r="B176" s="90">
        <v>0.35</v>
      </c>
      <c r="C176" s="90">
        <v>0.35</v>
      </c>
      <c r="D176" s="90">
        <v>0.36</v>
      </c>
      <c r="F176" s="60"/>
    </row>
    <row r="177" spans="1:6" ht="16" x14ac:dyDescent="0.35">
      <c r="A177" s="89" t="s">
        <v>110</v>
      </c>
      <c r="B177" s="90">
        <v>0.7</v>
      </c>
      <c r="C177" s="90">
        <v>0.7</v>
      </c>
      <c r="D177" s="90">
        <v>0.7</v>
      </c>
      <c r="F177" s="60"/>
    </row>
    <row r="178" spans="1:6" x14ac:dyDescent="0.35">
      <c r="A178" s="89" t="s">
        <v>99</v>
      </c>
      <c r="B178" s="90">
        <v>0.12</v>
      </c>
      <c r="C178" s="90">
        <v>0.12</v>
      </c>
      <c r="D178" s="90">
        <v>7.0000000000000007E-2</v>
      </c>
      <c r="F178" s="60"/>
    </row>
    <row r="179" spans="1:6" x14ac:dyDescent="0.35">
      <c r="A179" s="89" t="s">
        <v>100</v>
      </c>
      <c r="B179" s="90">
        <v>0.26</v>
      </c>
      <c r="C179" s="90">
        <v>0.11</v>
      </c>
      <c r="D179" s="90">
        <v>0.53</v>
      </c>
      <c r="F179" s="60"/>
    </row>
    <row r="180" spans="1:6" x14ac:dyDescent="0.35">
      <c r="A180" s="89" t="s">
        <v>101</v>
      </c>
      <c r="B180" s="91" t="s">
        <v>102</v>
      </c>
      <c r="C180" s="91" t="s">
        <v>102</v>
      </c>
      <c r="D180" s="90">
        <v>0.11</v>
      </c>
      <c r="F180" s="60"/>
    </row>
    <row r="181" spans="1:6" x14ac:dyDescent="0.35">
      <c r="A181" s="89" t="s">
        <v>103</v>
      </c>
      <c r="B181" s="91" t="s">
        <v>102</v>
      </c>
      <c r="C181" s="91" t="s">
        <v>102</v>
      </c>
      <c r="D181" s="90">
        <v>0.13</v>
      </c>
      <c r="F181" s="60"/>
    </row>
    <row r="182" spans="1:6" x14ac:dyDescent="0.35">
      <c r="A182" s="89" t="s">
        <v>104</v>
      </c>
      <c r="B182" s="91" t="s">
        <v>102</v>
      </c>
      <c r="C182" s="91" t="s">
        <v>102</v>
      </c>
      <c r="D182" s="90">
        <v>0.08</v>
      </c>
      <c r="F182" s="60"/>
    </row>
    <row r="183" spans="1:6" x14ac:dyDescent="0.35">
      <c r="A183" s="89" t="s">
        <v>105</v>
      </c>
      <c r="B183" s="91" t="s">
        <v>102</v>
      </c>
      <c r="C183" s="91" t="s">
        <v>102</v>
      </c>
      <c r="D183" s="90">
        <v>0.04</v>
      </c>
      <c r="F183" s="60"/>
    </row>
    <row r="184" spans="1:6" x14ac:dyDescent="0.35">
      <c r="A184" s="89" t="s">
        <v>106</v>
      </c>
      <c r="B184" s="91" t="s">
        <v>102</v>
      </c>
      <c r="C184" s="91" t="s">
        <v>102</v>
      </c>
      <c r="D184" s="90">
        <v>0.11</v>
      </c>
      <c r="F184" s="60"/>
    </row>
    <row r="185" spans="1:6" x14ac:dyDescent="0.35">
      <c r="A185" s="89" t="s">
        <v>107</v>
      </c>
      <c r="B185" s="91" t="s">
        <v>102</v>
      </c>
      <c r="C185" s="91" t="s">
        <v>102</v>
      </c>
      <c r="D185" s="90">
        <v>0.06</v>
      </c>
      <c r="F185" s="60"/>
    </row>
    <row r="186" spans="1:6" ht="16" x14ac:dyDescent="0.35">
      <c r="A186" s="89" t="s">
        <v>111</v>
      </c>
      <c r="B186" s="91" t="s">
        <v>102</v>
      </c>
      <c r="C186" s="91" t="s">
        <v>102</v>
      </c>
      <c r="D186" s="90">
        <v>0.23</v>
      </c>
      <c r="F186" s="60"/>
    </row>
    <row r="187" spans="1:6" x14ac:dyDescent="0.35">
      <c r="A187" s="92"/>
      <c r="B187" s="58"/>
      <c r="C187" s="58"/>
      <c r="D187" s="59"/>
      <c r="F187" s="60"/>
    </row>
    <row r="188" spans="1:6" ht="63.75" customHeight="1" x14ac:dyDescent="0.35">
      <c r="A188" s="290" t="s">
        <v>112</v>
      </c>
      <c r="B188" s="309"/>
      <c r="C188" s="309"/>
      <c r="D188" s="291"/>
      <c r="F188" s="60"/>
    </row>
    <row r="189" spans="1:6" x14ac:dyDescent="0.35">
      <c r="A189" s="5" t="s">
        <v>204</v>
      </c>
      <c r="F189" s="60"/>
    </row>
    <row r="190" spans="1:6" x14ac:dyDescent="0.35">
      <c r="A190" s="63" t="s">
        <v>113</v>
      </c>
      <c r="F190" s="60"/>
    </row>
    <row r="191" spans="1:6" x14ac:dyDescent="0.35">
      <c r="A191" s="310" t="s">
        <v>84</v>
      </c>
      <c r="B191" s="311" t="s">
        <v>348</v>
      </c>
      <c r="C191" s="311"/>
      <c r="D191" s="311"/>
      <c r="F191" s="60"/>
    </row>
    <row r="192" spans="1:6" x14ac:dyDescent="0.35">
      <c r="A192" s="310"/>
      <c r="B192" s="76" t="s">
        <v>85</v>
      </c>
      <c r="C192" s="76" t="s">
        <v>114</v>
      </c>
      <c r="D192" s="76" t="s">
        <v>115</v>
      </c>
      <c r="F192" s="60"/>
    </row>
    <row r="193" spans="1:6" x14ac:dyDescent="0.35">
      <c r="A193" s="89" t="s">
        <v>90</v>
      </c>
      <c r="B193" s="90">
        <v>0.24</v>
      </c>
      <c r="C193" s="90">
        <v>0.24</v>
      </c>
      <c r="D193" s="90">
        <v>0.25</v>
      </c>
      <c r="F193" s="60"/>
    </row>
    <row r="194" spans="1:6" x14ac:dyDescent="0.35">
      <c r="A194" s="89" t="s">
        <v>116</v>
      </c>
      <c r="B194" s="90">
        <v>0.14000000000000001</v>
      </c>
      <c r="C194" s="90">
        <v>0.14000000000000001</v>
      </c>
      <c r="D194" s="90">
        <v>0.35</v>
      </c>
      <c r="F194" s="60"/>
    </row>
    <row r="195" spans="1:6" x14ac:dyDescent="0.35">
      <c r="A195" s="89" t="s">
        <v>117</v>
      </c>
      <c r="B195" s="90">
        <v>0.1</v>
      </c>
      <c r="C195" s="90">
        <v>0.1</v>
      </c>
      <c r="D195" s="90">
        <v>0.1</v>
      </c>
      <c r="F195" s="60"/>
    </row>
    <row r="196" spans="1:6" x14ac:dyDescent="0.35">
      <c r="A196" s="89" t="s">
        <v>92</v>
      </c>
      <c r="B196" s="90">
        <v>0.43</v>
      </c>
      <c r="C196" s="90">
        <v>0.43</v>
      </c>
      <c r="D196" s="90">
        <v>0.44</v>
      </c>
      <c r="F196" s="60"/>
    </row>
    <row r="197" spans="1:6" x14ac:dyDescent="0.35">
      <c r="A197" s="89" t="s">
        <v>98</v>
      </c>
      <c r="B197" s="90">
        <v>0.25</v>
      </c>
      <c r="C197" s="90">
        <v>0.25</v>
      </c>
      <c r="D197" s="90">
        <v>0.7</v>
      </c>
      <c r="F197" s="60"/>
    </row>
    <row r="198" spans="1:6" x14ac:dyDescent="0.35">
      <c r="A198" s="89" t="s">
        <v>118</v>
      </c>
      <c r="B198" s="90">
        <v>0.35</v>
      </c>
      <c r="C198" s="90">
        <v>0.14000000000000001</v>
      </c>
      <c r="D198" s="90">
        <v>0.53</v>
      </c>
      <c r="F198" s="60"/>
    </row>
    <row r="199" spans="1:6" x14ac:dyDescent="0.35">
      <c r="A199" s="89" t="s">
        <v>119</v>
      </c>
      <c r="B199" s="90">
        <v>0.05</v>
      </c>
      <c r="C199" s="90">
        <v>0.05</v>
      </c>
      <c r="D199" s="90">
        <v>0.05</v>
      </c>
      <c r="F199" s="60"/>
    </row>
    <row r="200" spans="1:6" x14ac:dyDescent="0.35">
      <c r="A200" s="89" t="s">
        <v>120</v>
      </c>
      <c r="B200" s="91" t="s">
        <v>102</v>
      </c>
      <c r="C200" s="91" t="s">
        <v>102</v>
      </c>
      <c r="D200" s="90">
        <v>0.03</v>
      </c>
      <c r="F200" s="60"/>
    </row>
    <row r="201" spans="1:6" x14ac:dyDescent="0.35">
      <c r="A201" s="89" t="s">
        <v>93</v>
      </c>
      <c r="B201" s="91" t="s">
        <v>102</v>
      </c>
      <c r="C201" s="91" t="s">
        <v>102</v>
      </c>
      <c r="D201" s="90">
        <v>0.21</v>
      </c>
      <c r="F201" s="60"/>
    </row>
    <row r="202" spans="1:6" x14ac:dyDescent="0.35">
      <c r="A202" s="5" t="s">
        <v>204</v>
      </c>
      <c r="F202" s="60"/>
    </row>
    <row r="203" spans="1:6" x14ac:dyDescent="0.35">
      <c r="A203" s="63" t="s">
        <v>121</v>
      </c>
      <c r="F203" s="60"/>
    </row>
    <row r="204" spans="1:6" ht="44.5" x14ac:dyDescent="0.35">
      <c r="A204" s="75" t="s">
        <v>122</v>
      </c>
      <c r="B204" s="93" t="s">
        <v>349</v>
      </c>
      <c r="C204" s="93" t="s">
        <v>350</v>
      </c>
      <c r="F204" s="60"/>
    </row>
    <row r="205" spans="1:6" ht="16.5" x14ac:dyDescent="0.35">
      <c r="A205" s="89" t="s">
        <v>127</v>
      </c>
      <c r="B205" s="90">
        <v>0.35</v>
      </c>
      <c r="C205" s="90">
        <v>0.42</v>
      </c>
      <c r="F205" s="60"/>
    </row>
    <row r="206" spans="1:6" ht="16.5" x14ac:dyDescent="0.35">
      <c r="A206" s="89" t="s">
        <v>128</v>
      </c>
      <c r="B206" s="90">
        <v>0.7</v>
      </c>
      <c r="C206" s="90">
        <v>0.84</v>
      </c>
      <c r="F206" s="60"/>
    </row>
    <row r="207" spans="1:6" ht="16.5" x14ac:dyDescent="0.35">
      <c r="A207" s="89" t="s">
        <v>129</v>
      </c>
      <c r="B207" s="90">
        <v>1.76</v>
      </c>
      <c r="C207" s="90">
        <v>1.69</v>
      </c>
      <c r="F207" s="60"/>
    </row>
    <row r="208" spans="1:6" x14ac:dyDescent="0.35">
      <c r="A208" s="89" t="s">
        <v>123</v>
      </c>
      <c r="B208" s="90">
        <v>2.11</v>
      </c>
      <c r="C208" s="90">
        <v>2.11</v>
      </c>
      <c r="F208" s="60"/>
    </row>
    <row r="209" spans="1:6" x14ac:dyDescent="0.35">
      <c r="A209" s="89" t="s">
        <v>124</v>
      </c>
      <c r="B209" s="90">
        <v>3.52</v>
      </c>
      <c r="C209" s="90">
        <v>3.8</v>
      </c>
      <c r="F209" s="60"/>
    </row>
    <row r="210" spans="1:6" x14ac:dyDescent="0.35">
      <c r="A210" s="89" t="s">
        <v>125</v>
      </c>
      <c r="B210" s="90">
        <v>3.87</v>
      </c>
      <c r="C210" s="90">
        <v>4.22</v>
      </c>
      <c r="F210" s="60"/>
    </row>
    <row r="211" spans="1:6" x14ac:dyDescent="0.35">
      <c r="A211" s="89" t="s">
        <v>126</v>
      </c>
      <c r="B211" s="90">
        <v>5.63</v>
      </c>
      <c r="C211" s="90">
        <v>4.22</v>
      </c>
      <c r="F211" s="60"/>
    </row>
    <row r="212" spans="1:6" ht="16.5" x14ac:dyDescent="0.35">
      <c r="A212" s="89" t="s">
        <v>130</v>
      </c>
      <c r="B212" s="90">
        <v>3.87</v>
      </c>
      <c r="C212" s="90">
        <v>4.22</v>
      </c>
      <c r="F212" s="60"/>
    </row>
    <row r="213" spans="1:6" x14ac:dyDescent="0.35">
      <c r="A213" s="92"/>
      <c r="B213" s="58"/>
      <c r="C213" s="59"/>
      <c r="F213" s="60"/>
    </row>
    <row r="214" spans="1:6" ht="48.75" customHeight="1" x14ac:dyDescent="0.35">
      <c r="A214" s="282" t="s">
        <v>131</v>
      </c>
      <c r="B214" s="308"/>
      <c r="C214" s="283"/>
      <c r="F214" s="60"/>
    </row>
    <row r="215" spans="1:6" ht="96.75" customHeight="1" x14ac:dyDescent="0.35">
      <c r="A215" s="282" t="s">
        <v>132</v>
      </c>
      <c r="B215" s="308"/>
      <c r="C215" s="283"/>
      <c r="F215" s="60"/>
    </row>
    <row r="216" spans="1:6" ht="66.75" customHeight="1" x14ac:dyDescent="0.35">
      <c r="A216" s="290" t="s">
        <v>158</v>
      </c>
      <c r="B216" s="309"/>
      <c r="C216" s="291"/>
      <c r="F216" s="60"/>
    </row>
    <row r="217" spans="1:6" x14ac:dyDescent="0.35">
      <c r="A217" s="5" t="s">
        <v>204</v>
      </c>
      <c r="F217" s="60"/>
    </row>
    <row r="218" spans="1:6" x14ac:dyDescent="0.35">
      <c r="A218" s="63" t="s">
        <v>133</v>
      </c>
      <c r="F218" s="60"/>
    </row>
    <row r="219" spans="1:6" ht="30.5" x14ac:dyDescent="0.35">
      <c r="A219" s="75" t="s">
        <v>135</v>
      </c>
      <c r="B219" s="93" t="s">
        <v>205</v>
      </c>
      <c r="C219" s="93" t="s">
        <v>351</v>
      </c>
      <c r="F219" s="60"/>
    </row>
    <row r="220" spans="1:6" ht="16.5" x14ac:dyDescent="0.35">
      <c r="A220" s="89" t="s">
        <v>136</v>
      </c>
      <c r="B220" s="91" t="s">
        <v>138</v>
      </c>
      <c r="C220" s="90">
        <v>8.06</v>
      </c>
      <c r="D220" s="64" t="s">
        <v>371</v>
      </c>
      <c r="F220" s="60"/>
    </row>
    <row r="221" spans="1:6" ht="16.5" x14ac:dyDescent="0.35">
      <c r="A221" s="89" t="s">
        <v>137</v>
      </c>
      <c r="B221" s="91" t="s">
        <v>139</v>
      </c>
      <c r="C221" s="90">
        <v>7.18</v>
      </c>
      <c r="D221" s="64" t="s">
        <v>371</v>
      </c>
      <c r="F221" s="60"/>
    </row>
    <row r="222" spans="1:6" x14ac:dyDescent="0.35">
      <c r="A222" s="92"/>
      <c r="B222" s="58"/>
      <c r="C222" s="59"/>
      <c r="F222" s="60"/>
    </row>
    <row r="223" spans="1:6" ht="50.25" customHeight="1" x14ac:dyDescent="0.35">
      <c r="A223" s="282" t="s">
        <v>140</v>
      </c>
      <c r="B223" s="308"/>
      <c r="C223" s="283"/>
      <c r="F223" s="60"/>
    </row>
    <row r="224" spans="1:6" ht="51" customHeight="1" x14ac:dyDescent="0.35">
      <c r="A224" s="282" t="s">
        <v>141</v>
      </c>
      <c r="B224" s="308"/>
      <c r="C224" s="283"/>
      <c r="F224" s="60"/>
    </row>
    <row r="225" spans="1:6" ht="49.5" customHeight="1" x14ac:dyDescent="0.35">
      <c r="A225" s="282" t="s">
        <v>142</v>
      </c>
      <c r="B225" s="308"/>
      <c r="C225" s="283"/>
      <c r="F225" s="60"/>
    </row>
    <row r="226" spans="1:6" ht="80.25" customHeight="1" x14ac:dyDescent="0.35">
      <c r="A226" s="290" t="s">
        <v>143</v>
      </c>
      <c r="B226" s="309"/>
      <c r="C226" s="291"/>
      <c r="F226" s="60"/>
    </row>
    <row r="227" spans="1:6" x14ac:dyDescent="0.35">
      <c r="A227" s="5" t="s">
        <v>204</v>
      </c>
      <c r="F227" s="60"/>
    </row>
    <row r="228" spans="1:6" x14ac:dyDescent="0.35">
      <c r="A228" s="63" t="s">
        <v>134</v>
      </c>
      <c r="F228" s="60"/>
    </row>
    <row r="229" spans="1:6" ht="15.75" customHeight="1" x14ac:dyDescent="0.35">
      <c r="A229" s="310" t="s">
        <v>144</v>
      </c>
      <c r="B229" s="305" t="s">
        <v>352</v>
      </c>
      <c r="C229" s="306"/>
      <c r="D229" s="306"/>
      <c r="E229" s="306"/>
      <c r="F229" s="307"/>
    </row>
    <row r="230" spans="1:6" ht="47" x14ac:dyDescent="0.35">
      <c r="A230" s="310"/>
      <c r="B230" s="76" t="s">
        <v>145</v>
      </c>
      <c r="C230" s="76" t="s">
        <v>146</v>
      </c>
      <c r="D230" s="76" t="s">
        <v>147</v>
      </c>
      <c r="E230" s="76" t="s">
        <v>287</v>
      </c>
      <c r="F230" s="76" t="s">
        <v>288</v>
      </c>
    </row>
    <row r="231" spans="1:6" x14ac:dyDescent="0.35">
      <c r="A231" s="89" t="s">
        <v>148</v>
      </c>
      <c r="B231" s="94">
        <v>0.14299999999999999</v>
      </c>
      <c r="C231" s="95">
        <v>2E-3</v>
      </c>
      <c r="D231" s="94">
        <v>1.7999999999999999E-2</v>
      </c>
      <c r="E231" s="94" t="s">
        <v>102</v>
      </c>
      <c r="F231" s="94">
        <v>0.11</v>
      </c>
    </row>
    <row r="232" spans="1:6" x14ac:dyDescent="0.35">
      <c r="A232" s="89" t="s">
        <v>149</v>
      </c>
      <c r="B232" s="94">
        <v>0.03</v>
      </c>
      <c r="C232" s="95">
        <v>2.0000000000000001E-4</v>
      </c>
      <c r="D232" s="94">
        <v>0.10199999999999999</v>
      </c>
      <c r="E232" s="94" t="s">
        <v>102</v>
      </c>
      <c r="F232" s="94">
        <v>0.113</v>
      </c>
    </row>
    <row r="233" spans="1:6" x14ac:dyDescent="0.35">
      <c r="A233" s="89" t="s">
        <v>150</v>
      </c>
      <c r="B233" s="94">
        <v>0.12</v>
      </c>
      <c r="C233" s="95">
        <v>1.1000000000000001E-3</v>
      </c>
      <c r="D233" s="94">
        <v>4.2000000000000003E-2</v>
      </c>
      <c r="E233" s="94">
        <v>1.2999999999999999E-2</v>
      </c>
      <c r="F233" s="94">
        <v>0.111</v>
      </c>
    </row>
    <row r="234" spans="1:6" x14ac:dyDescent="0.35">
      <c r="A234" s="89" t="s">
        <v>151</v>
      </c>
      <c r="B234" s="94">
        <v>0.35799999999999998</v>
      </c>
      <c r="C234" s="95">
        <v>4.53E-2</v>
      </c>
      <c r="D234" s="94">
        <v>1.7000000000000001E-2</v>
      </c>
      <c r="E234" s="94" t="s">
        <v>102</v>
      </c>
      <c r="F234" s="94">
        <v>0.314</v>
      </c>
    </row>
    <row r="235" spans="1:6" x14ac:dyDescent="0.35">
      <c r="A235" s="89" t="s">
        <v>152</v>
      </c>
      <c r="B235" s="94">
        <v>7.8E-2</v>
      </c>
      <c r="C235" s="95">
        <v>3.8E-3</v>
      </c>
      <c r="D235" s="94">
        <v>2.9000000000000001E-2</v>
      </c>
      <c r="E235" s="94" t="s">
        <v>102</v>
      </c>
      <c r="F235" s="94">
        <v>0.31</v>
      </c>
    </row>
    <row r="236" spans="1:6" x14ac:dyDescent="0.35">
      <c r="A236" s="89" t="s">
        <v>153</v>
      </c>
      <c r="B236" s="94">
        <v>0.245</v>
      </c>
      <c r="C236" s="95">
        <v>2.2800000000000001E-2</v>
      </c>
      <c r="D236" s="94">
        <v>2.1999999999999999E-2</v>
      </c>
      <c r="E236" s="94">
        <v>3.6999999999999998E-2</v>
      </c>
      <c r="F236" s="94">
        <v>0.312</v>
      </c>
    </row>
    <row r="237" spans="1:6" x14ac:dyDescent="0.35">
      <c r="A237" s="89" t="s">
        <v>154</v>
      </c>
      <c r="B237" s="94">
        <v>0.159</v>
      </c>
      <c r="C237" s="95">
        <v>5.3E-3</v>
      </c>
      <c r="D237" s="94">
        <v>1.7999999999999999E-2</v>
      </c>
      <c r="E237" s="94" t="s">
        <v>102</v>
      </c>
      <c r="F237" s="94">
        <v>0.128</v>
      </c>
    </row>
    <row r="238" spans="1:6" x14ac:dyDescent="0.35">
      <c r="A238" s="89" t="s">
        <v>155</v>
      </c>
      <c r="B238" s="94">
        <v>3.6999999999999998E-2</v>
      </c>
      <c r="C238" s="95">
        <v>6.9999999999999999E-4</v>
      </c>
      <c r="D238" s="94">
        <v>9.0999999999999998E-2</v>
      </c>
      <c r="E238" s="94" t="s">
        <v>102</v>
      </c>
      <c r="F238" s="94">
        <v>0.14499999999999999</v>
      </c>
    </row>
    <row r="239" spans="1:6" x14ac:dyDescent="0.35">
      <c r="A239" s="89" t="s">
        <v>156</v>
      </c>
      <c r="B239" s="94">
        <v>0.13300000000000001</v>
      </c>
      <c r="C239" s="95">
        <v>3.2000000000000002E-3</v>
      </c>
      <c r="D239" s="94">
        <v>0.04</v>
      </c>
      <c r="E239" s="94">
        <v>1.4999999999999999E-2</v>
      </c>
      <c r="F239" s="94">
        <v>0.13300000000000001</v>
      </c>
    </row>
    <row r="240" spans="1:6" x14ac:dyDescent="0.35">
      <c r="A240" s="92"/>
      <c r="B240" s="58"/>
      <c r="C240" s="58"/>
      <c r="D240" s="59"/>
      <c r="F240" s="60"/>
    </row>
    <row r="241" spans="1:6" ht="32.15" customHeight="1" x14ac:dyDescent="0.35">
      <c r="A241" s="282" t="s">
        <v>353</v>
      </c>
      <c r="B241" s="308"/>
      <c r="C241" s="308"/>
      <c r="D241" s="308"/>
      <c r="E241" s="308"/>
      <c r="F241" s="283"/>
    </row>
    <row r="242" spans="1:6" ht="32.5" customHeight="1" x14ac:dyDescent="0.35">
      <c r="A242" s="298" t="s">
        <v>289</v>
      </c>
      <c r="B242" s="298"/>
      <c r="C242" s="298"/>
      <c r="D242" s="298"/>
      <c r="E242" s="298"/>
      <c r="F242" s="299"/>
    </row>
  </sheetData>
  <mergeCells count="35">
    <mergeCell ref="A225:C225"/>
    <mergeCell ref="B163:D163"/>
    <mergeCell ref="A163:A164"/>
    <mergeCell ref="A148:B148"/>
    <mergeCell ref="A149:B149"/>
    <mergeCell ref="A159:B159"/>
    <mergeCell ref="A242:F242"/>
    <mergeCell ref="B60:D60"/>
    <mergeCell ref="A74:D74"/>
    <mergeCell ref="A75:D75"/>
    <mergeCell ref="B229:F229"/>
    <mergeCell ref="A241:F241"/>
    <mergeCell ref="A226:C226"/>
    <mergeCell ref="A229:A230"/>
    <mergeCell ref="A214:C214"/>
    <mergeCell ref="A215:C215"/>
    <mergeCell ref="A216:C216"/>
    <mergeCell ref="A223:C223"/>
    <mergeCell ref="A224:C224"/>
    <mergeCell ref="A188:D188"/>
    <mergeCell ref="A191:A192"/>
    <mergeCell ref="B191:D191"/>
    <mergeCell ref="A20:B20"/>
    <mergeCell ref="A21:B21"/>
    <mergeCell ref="A36:B36"/>
    <mergeCell ref="A37:B37"/>
    <mergeCell ref="A160:B160"/>
    <mergeCell ref="A38:B38"/>
    <mergeCell ref="A39:B39"/>
    <mergeCell ref="A40:B40"/>
    <mergeCell ref="A49:B49"/>
    <mergeCell ref="A56:B56"/>
    <mergeCell ref="A57:B57"/>
    <mergeCell ref="A111:E111"/>
    <mergeCell ref="A112:E112"/>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34DA1-448F-48FC-ABD2-78FD7CC3CEE4}">
  <sheetPr>
    <tabColor rgb="FF0000FF"/>
  </sheetPr>
  <dimension ref="B2:U39"/>
  <sheetViews>
    <sheetView showGridLines="0" zoomScale="33" zoomScaleNormal="90" workbookViewId="0">
      <pane xSplit="2" ySplit="8" topLeftCell="C9" activePane="bottomRight" state="frozen"/>
      <selection pane="topRight"/>
      <selection pane="bottomLeft"/>
      <selection pane="bottomRight" activeCell="A3" sqref="A3"/>
    </sheetView>
  </sheetViews>
  <sheetFormatPr defaultRowHeight="14.5" x14ac:dyDescent="0.35"/>
  <cols>
    <col min="1" max="1" width="2.54296875" customWidth="1"/>
    <col min="2" max="2" width="70.36328125" bestFit="1" customWidth="1"/>
    <col min="3" max="3" width="2.7265625" customWidth="1"/>
    <col min="4" max="4" width="24" customWidth="1"/>
    <col min="5" max="5" width="26" customWidth="1"/>
    <col min="6" max="6" width="2.7265625" customWidth="1"/>
  </cols>
  <sheetData>
    <row r="2" spans="2:21" x14ac:dyDescent="0.35">
      <c r="B2" s="190" t="s">
        <v>368</v>
      </c>
      <c r="D2" s="177" t="s">
        <v>192</v>
      </c>
      <c r="E2" s="217" t="s">
        <v>193</v>
      </c>
      <c r="G2" s="190" t="s">
        <v>443</v>
      </c>
      <c r="H2" s="190"/>
      <c r="I2" s="190"/>
      <c r="J2" s="190"/>
      <c r="K2" s="190"/>
      <c r="L2" s="190"/>
      <c r="M2" s="190"/>
      <c r="N2" s="190"/>
      <c r="O2" s="190"/>
      <c r="P2" s="190"/>
      <c r="Q2" s="190"/>
      <c r="R2" s="190"/>
      <c r="S2" s="190"/>
      <c r="T2" s="190"/>
      <c r="U2" s="190"/>
    </row>
    <row r="3" spans="2:21" x14ac:dyDescent="0.35">
      <c r="B3" t="s">
        <v>444</v>
      </c>
      <c r="D3" s="215" t="s">
        <v>364</v>
      </c>
      <c r="E3" s="189">
        <v>0</v>
      </c>
      <c r="G3" t="s">
        <v>405</v>
      </c>
    </row>
    <row r="4" spans="2:21" x14ac:dyDescent="0.35">
      <c r="B4" t="s">
        <v>445</v>
      </c>
      <c r="D4" s="215" t="s">
        <v>364</v>
      </c>
      <c r="E4" s="189">
        <v>0.05</v>
      </c>
      <c r="G4" t="s">
        <v>406</v>
      </c>
    </row>
    <row r="5" spans="2:21" x14ac:dyDescent="0.35">
      <c r="B5" t="s">
        <v>446</v>
      </c>
      <c r="D5" s="215" t="s">
        <v>364</v>
      </c>
      <c r="E5" s="189">
        <v>0.05</v>
      </c>
      <c r="G5" t="s">
        <v>407</v>
      </c>
    </row>
    <row r="6" spans="2:21" x14ac:dyDescent="0.35">
      <c r="B6" t="s">
        <v>412</v>
      </c>
      <c r="D6" s="215">
        <v>0.04</v>
      </c>
      <c r="E6" s="189">
        <v>0.04</v>
      </c>
      <c r="G6" t="s">
        <v>408</v>
      </c>
    </row>
    <row r="7" spans="2:21" x14ac:dyDescent="0.35">
      <c r="B7" t="s">
        <v>413</v>
      </c>
      <c r="D7" s="215">
        <v>0.04</v>
      </c>
      <c r="E7" s="189">
        <v>0.04</v>
      </c>
      <c r="G7" t="s">
        <v>408</v>
      </c>
    </row>
    <row r="8" spans="2:21" x14ac:dyDescent="0.35">
      <c r="B8" t="s">
        <v>414</v>
      </c>
      <c r="D8" s="215">
        <v>0.04</v>
      </c>
      <c r="E8" s="189">
        <v>0.04</v>
      </c>
      <c r="G8" t="s">
        <v>408</v>
      </c>
    </row>
    <row r="11" spans="2:21" x14ac:dyDescent="0.35">
      <c r="B11" s="190" t="s">
        <v>369</v>
      </c>
      <c r="C11" s="188"/>
      <c r="D11" s="177" t="s">
        <v>192</v>
      </c>
      <c r="E11" s="217" t="s">
        <v>193</v>
      </c>
    </row>
    <row r="12" spans="2:21" x14ac:dyDescent="0.35">
      <c r="B12" s="178" t="s">
        <v>361</v>
      </c>
      <c r="D12" s="179"/>
    </row>
    <row r="13" spans="2:21" x14ac:dyDescent="0.35">
      <c r="B13" s="180" t="s">
        <v>362</v>
      </c>
      <c r="D13" s="195" t="s">
        <v>364</v>
      </c>
      <c r="E13" s="194">
        <v>2030</v>
      </c>
      <c r="F13" t="s">
        <v>474</v>
      </c>
      <c r="G13" t="s">
        <v>493</v>
      </c>
    </row>
    <row r="14" spans="2:21" x14ac:dyDescent="0.35">
      <c r="B14" s="180" t="s">
        <v>363</v>
      </c>
      <c r="D14" s="195" t="s">
        <v>364</v>
      </c>
      <c r="E14" s="194">
        <f>E13+3</f>
        <v>2033</v>
      </c>
      <c r="F14" t="s">
        <v>474</v>
      </c>
      <c r="G14" t="s">
        <v>404</v>
      </c>
    </row>
    <row r="15" spans="2:21" x14ac:dyDescent="0.35">
      <c r="B15" s="180" t="s">
        <v>365</v>
      </c>
      <c r="D15" s="280">
        <v>17</v>
      </c>
      <c r="E15" s="260">
        <f>D15+9</f>
        <v>26</v>
      </c>
      <c r="G15" t="s">
        <v>399</v>
      </c>
    </row>
    <row r="16" spans="2:21" x14ac:dyDescent="0.35">
      <c r="B16" s="185" t="s">
        <v>308</v>
      </c>
      <c r="D16" s="181"/>
      <c r="E16" s="182"/>
    </row>
    <row r="17" spans="2:7" x14ac:dyDescent="0.35">
      <c r="B17" s="180" t="s">
        <v>372</v>
      </c>
      <c r="D17" s="261">
        <v>54130</v>
      </c>
      <c r="E17" s="262">
        <f>D17*(1+E3)</f>
        <v>54130</v>
      </c>
      <c r="F17" t="s">
        <v>474</v>
      </c>
      <c r="G17" t="s">
        <v>494</v>
      </c>
    </row>
    <row r="18" spans="2:7" x14ac:dyDescent="0.35">
      <c r="B18" s="180" t="s">
        <v>366</v>
      </c>
      <c r="D18" s="196">
        <v>404</v>
      </c>
      <c r="E18" s="183">
        <f>D18*(1+E4)</f>
        <v>424.20000000000005</v>
      </c>
      <c r="F18" t="s">
        <v>474</v>
      </c>
      <c r="G18" t="s">
        <v>500</v>
      </c>
    </row>
    <row r="19" spans="2:7" x14ac:dyDescent="0.35">
      <c r="B19" s="180" t="s">
        <v>367</v>
      </c>
      <c r="D19" s="196">
        <v>36</v>
      </c>
      <c r="E19" s="183">
        <f>D19*(1+E5)</f>
        <v>37.800000000000004</v>
      </c>
      <c r="F19" t="s">
        <v>474</v>
      </c>
      <c r="G19" t="s">
        <v>501</v>
      </c>
    </row>
    <row r="20" spans="2:7" x14ac:dyDescent="0.35">
      <c r="B20" s="185" t="s">
        <v>218</v>
      </c>
      <c r="D20" s="181"/>
      <c r="E20" s="182"/>
    </row>
    <row r="21" spans="2:7" x14ac:dyDescent="0.35">
      <c r="B21" s="180" t="s">
        <v>409</v>
      </c>
      <c r="D21" s="186" t="s">
        <v>364</v>
      </c>
      <c r="E21" s="187">
        <f>31250000/3</f>
        <v>10416666.666666666</v>
      </c>
      <c r="G21" t="s">
        <v>495</v>
      </c>
    </row>
    <row r="22" spans="2:7" x14ac:dyDescent="0.35">
      <c r="B22" s="180" t="s">
        <v>410</v>
      </c>
      <c r="D22" s="186" t="s">
        <v>364</v>
      </c>
      <c r="E22" s="187">
        <f>31250000/3</f>
        <v>10416666.666666666</v>
      </c>
      <c r="G22" t="s">
        <v>495</v>
      </c>
    </row>
    <row r="23" spans="2:7" x14ac:dyDescent="0.35">
      <c r="B23" s="180" t="s">
        <v>411</v>
      </c>
      <c r="D23" s="186" t="s">
        <v>364</v>
      </c>
      <c r="E23" s="187">
        <f>31250000/3</f>
        <v>10416666.666666666</v>
      </c>
      <c r="G23" t="s">
        <v>495</v>
      </c>
    </row>
    <row r="24" spans="2:7" x14ac:dyDescent="0.35">
      <c r="B24" s="180" t="s">
        <v>370</v>
      </c>
      <c r="D24" s="191" t="s">
        <v>364</v>
      </c>
      <c r="E24" s="192">
        <f>SUM(E21:E23)</f>
        <v>31250000</v>
      </c>
      <c r="G24" t="s">
        <v>403</v>
      </c>
    </row>
    <row r="25" spans="2:7" x14ac:dyDescent="0.35">
      <c r="B25" s="180"/>
    </row>
    <row r="27" spans="2:7" x14ac:dyDescent="0.35">
      <c r="B27" s="190" t="s">
        <v>415</v>
      </c>
      <c r="D27" s="177" t="s">
        <v>192</v>
      </c>
      <c r="E27" s="217" t="s">
        <v>193</v>
      </c>
    </row>
    <row r="28" spans="2:7" x14ac:dyDescent="0.35">
      <c r="B28" s="180" t="s">
        <v>416</v>
      </c>
      <c r="C28" s="178"/>
      <c r="D28" s="216">
        <v>2.1</v>
      </c>
      <c r="E28" s="206">
        <v>2.1</v>
      </c>
      <c r="F28" t="s">
        <v>474</v>
      </c>
      <c r="G28" t="s">
        <v>400</v>
      </c>
    </row>
    <row r="29" spans="2:7" x14ac:dyDescent="0.35">
      <c r="B29" s="180" t="s">
        <v>417</v>
      </c>
      <c r="C29" s="178"/>
      <c r="D29" s="195">
        <v>0.86</v>
      </c>
      <c r="E29" s="205">
        <v>0.86</v>
      </c>
      <c r="G29" t="s">
        <v>401</v>
      </c>
    </row>
    <row r="30" spans="2:7" x14ac:dyDescent="0.35">
      <c r="B30" s="180" t="s">
        <v>418</v>
      </c>
      <c r="C30" s="178"/>
      <c r="D30" s="195">
        <v>2.38</v>
      </c>
      <c r="E30" s="205">
        <v>2.38</v>
      </c>
      <c r="G30" t="s">
        <v>402</v>
      </c>
    </row>
    <row r="31" spans="2:7" x14ac:dyDescent="0.35">
      <c r="B31" s="180"/>
      <c r="C31" s="178"/>
      <c r="D31" s="266"/>
      <c r="E31" s="205"/>
    </row>
    <row r="32" spans="2:7" x14ac:dyDescent="0.35">
      <c r="B32" s="190" t="s">
        <v>476</v>
      </c>
      <c r="C32" s="178"/>
      <c r="D32" s="266"/>
      <c r="E32" s="205"/>
    </row>
    <row r="33" spans="2:7" x14ac:dyDescent="0.35">
      <c r="B33" s="180" t="s">
        <v>492</v>
      </c>
      <c r="C33" s="178"/>
      <c r="D33" s="266">
        <f>3</f>
        <v>3</v>
      </c>
      <c r="E33" s="205">
        <v>0</v>
      </c>
      <c r="F33" t="s">
        <v>474</v>
      </c>
      <c r="G33" t="s">
        <v>496</v>
      </c>
    </row>
    <row r="34" spans="2:7" x14ac:dyDescent="0.35">
      <c r="B34" s="180" t="s">
        <v>477</v>
      </c>
      <c r="C34" s="178"/>
      <c r="D34" s="266">
        <v>0</v>
      </c>
      <c r="E34" s="205">
        <f>88+71+165+223</f>
        <v>547</v>
      </c>
      <c r="F34" t="s">
        <v>474</v>
      </c>
      <c r="G34" t="s">
        <v>478</v>
      </c>
    </row>
    <row r="35" spans="2:7" x14ac:dyDescent="0.35">
      <c r="B35" s="180" t="s">
        <v>498</v>
      </c>
      <c r="C35" s="178"/>
      <c r="D35" s="266">
        <v>0.9</v>
      </c>
      <c r="E35" s="205">
        <v>0.6</v>
      </c>
      <c r="G35" t="s">
        <v>499</v>
      </c>
    </row>
    <row r="36" spans="2:7" x14ac:dyDescent="0.35">
      <c r="B36" s="180"/>
    </row>
    <row r="37" spans="2:7" x14ac:dyDescent="0.35">
      <c r="B37" s="180"/>
    </row>
    <row r="38" spans="2:7" ht="26" x14ac:dyDescent="0.6">
      <c r="D38" s="213" t="s">
        <v>422</v>
      </c>
      <c r="E38" s="214">
        <f>'Final Results'!B8</f>
        <v>2.8002735278744093</v>
      </c>
    </row>
    <row r="39" spans="2:7" x14ac:dyDescent="0.35">
      <c r="D39" s="184"/>
      <c r="E39" s="184"/>
    </row>
  </sheetData>
  <conditionalFormatting sqref="D3:E8 D28:E35 D12:E24">
    <cfRule type="expression" dxfId="21" priority="1">
      <formula>MOD(ROW(),2)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C47D-08A0-438D-8A10-8AAFD711382F}">
  <sheetPr>
    <tabColor rgb="FFFFFF00"/>
  </sheetPr>
  <dimension ref="B2:G15"/>
  <sheetViews>
    <sheetView showGridLines="0" tabSelected="1" zoomScale="82" zoomScaleNormal="100" workbookViewId="0">
      <selection activeCell="B2" sqref="B2"/>
    </sheetView>
  </sheetViews>
  <sheetFormatPr defaultRowHeight="14.5" x14ac:dyDescent="0.35"/>
  <cols>
    <col min="1" max="1" width="2.54296875" customWidth="1"/>
    <col min="2" max="2" width="27.54296875" bestFit="1" customWidth="1"/>
    <col min="3" max="5" width="15.6328125" customWidth="1"/>
  </cols>
  <sheetData>
    <row r="2" spans="2:7" ht="15" thickBot="1" x14ac:dyDescent="0.4">
      <c r="B2" s="221" t="s">
        <v>448</v>
      </c>
      <c r="C2" s="222"/>
      <c r="D2" s="222"/>
      <c r="E2" s="223"/>
      <c r="F2" s="5"/>
      <c r="G2" s="5"/>
    </row>
    <row r="3" spans="2:7" x14ac:dyDescent="0.35">
      <c r="B3" s="224"/>
      <c r="C3" s="224" t="s">
        <v>449</v>
      </c>
      <c r="D3" s="225" t="s">
        <v>450</v>
      </c>
      <c r="E3" s="225" t="s">
        <v>452</v>
      </c>
      <c r="F3" s="5"/>
      <c r="G3" s="5"/>
    </row>
    <row r="4" spans="2:7" x14ac:dyDescent="0.35">
      <c r="B4" s="226" t="s">
        <v>5</v>
      </c>
      <c r="C4" s="238">
        <f>-Summary!B56</f>
        <v>-24485874.229908243</v>
      </c>
      <c r="D4" s="227"/>
      <c r="E4" s="238">
        <f>-Summary!C56</f>
        <v>-19197775.627050757</v>
      </c>
      <c r="G4" s="5"/>
    </row>
    <row r="5" spans="2:7" x14ac:dyDescent="0.35">
      <c r="B5" s="228" t="s">
        <v>7</v>
      </c>
      <c r="C5" s="43"/>
      <c r="D5" s="229">
        <f>-Summary!B36</f>
        <v>8918134.1834682748</v>
      </c>
      <c r="E5" s="229">
        <f>-Summary!B37</f>
        <v>6106937.3765429547</v>
      </c>
      <c r="F5" s="5"/>
      <c r="G5" s="230"/>
    </row>
    <row r="6" spans="2:7" x14ac:dyDescent="0.35">
      <c r="B6" s="231" t="s">
        <v>8</v>
      </c>
      <c r="C6" s="232"/>
      <c r="D6" s="233">
        <f>Summary!C36</f>
        <v>67157910.794461533</v>
      </c>
      <c r="E6" s="233">
        <f>Summary!C37</f>
        <v>37530632.855989747</v>
      </c>
      <c r="F6" s="5"/>
      <c r="G6" s="230"/>
    </row>
    <row r="7" spans="2:7" x14ac:dyDescent="0.35">
      <c r="B7" s="231" t="s">
        <v>9</v>
      </c>
      <c r="C7" s="232"/>
      <c r="D7" s="233">
        <f>Summary!D36</f>
        <v>5029799.0619466808</v>
      </c>
      <c r="E7" s="233">
        <f>Summary!D37</f>
        <v>2810860.8457321199</v>
      </c>
      <c r="F7" s="5"/>
      <c r="G7" s="230"/>
    </row>
    <row r="8" spans="2:7" x14ac:dyDescent="0.35">
      <c r="B8" s="231" t="s">
        <v>10</v>
      </c>
      <c r="C8" s="232"/>
      <c r="D8" s="233">
        <f>Summary!E36</f>
        <v>683741.03535421297</v>
      </c>
      <c r="E8" s="233">
        <f>Summary!E37</f>
        <v>382102.91926724935</v>
      </c>
      <c r="F8" s="5"/>
      <c r="G8" s="230"/>
    </row>
    <row r="9" spans="2:7" x14ac:dyDescent="0.35">
      <c r="B9" s="231" t="s">
        <v>453</v>
      </c>
      <c r="C9" s="232"/>
      <c r="D9" s="233">
        <f>Summary!F36+Summary!G36</f>
        <v>180702.987915042</v>
      </c>
      <c r="E9" s="233">
        <f>Summary!F37+Summary!G37</f>
        <v>121180.34743090428</v>
      </c>
      <c r="F9" s="5"/>
      <c r="G9" s="230"/>
    </row>
    <row r="10" spans="2:7" x14ac:dyDescent="0.35">
      <c r="B10" s="231" t="s">
        <v>14</v>
      </c>
      <c r="C10" s="232"/>
      <c r="D10" s="233">
        <f>Summary!I36</f>
        <v>10873563.684844717</v>
      </c>
      <c r="E10" s="233">
        <f>Summary!I37</f>
        <v>6076599.4901346024</v>
      </c>
      <c r="F10" s="5"/>
      <c r="G10" s="230"/>
    </row>
    <row r="11" spans="2:7" ht="15" thickBot="1" x14ac:dyDescent="0.4">
      <c r="B11" s="234" t="s">
        <v>13</v>
      </c>
      <c r="C11" s="232"/>
      <c r="D11" s="233">
        <f>Summary!J36</f>
        <v>1307542.3803974853</v>
      </c>
      <c r="E11" s="233">
        <f>Summary!J37</f>
        <v>730709.047405208</v>
      </c>
      <c r="F11" s="5"/>
      <c r="G11" s="230"/>
    </row>
    <row r="12" spans="2:7" x14ac:dyDescent="0.35">
      <c r="B12" s="231" t="s">
        <v>21</v>
      </c>
      <c r="C12" s="239">
        <f>SUM(C4:C11)</f>
        <v>-24485874.229908243</v>
      </c>
      <c r="D12" s="239">
        <f>SUM(D4:D11)</f>
        <v>94151394.128387928</v>
      </c>
      <c r="E12" s="239">
        <f>SUM(E4:E11)</f>
        <v>34561247.255452022</v>
      </c>
      <c r="F12" s="5"/>
      <c r="G12" s="5"/>
    </row>
    <row r="13" spans="2:7" x14ac:dyDescent="0.35">
      <c r="B13" s="178"/>
      <c r="C13" s="203"/>
      <c r="D13" s="203"/>
      <c r="E13" s="203"/>
      <c r="F13" s="5"/>
      <c r="G13" s="5"/>
    </row>
    <row r="14" spans="2:7" x14ac:dyDescent="0.35">
      <c r="B14" s="240" t="s">
        <v>2</v>
      </c>
      <c r="C14" s="241">
        <f>E12</f>
        <v>34561247.255452022</v>
      </c>
      <c r="D14" s="242"/>
      <c r="E14" s="243"/>
      <c r="F14" s="5"/>
      <c r="G14" s="5"/>
    </row>
    <row r="15" spans="2:7" x14ac:dyDescent="0.35">
      <c r="B15" s="235" t="s">
        <v>451</v>
      </c>
      <c r="C15" s="236">
        <f>'Final Results'!B8</f>
        <v>2.8002735278744093</v>
      </c>
      <c r="D15" s="236"/>
      <c r="E15" s="237"/>
      <c r="F15" s="5"/>
      <c r="G15" s="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zoomScale="80" zoomScaleNormal="85" workbookViewId="0"/>
  </sheetViews>
  <sheetFormatPr defaultRowHeight="14.5" x14ac:dyDescent="0.35"/>
  <cols>
    <col min="1" max="1" width="30.1796875" customWidth="1"/>
    <col min="2" max="5" width="20.7265625" customWidth="1"/>
    <col min="6" max="6" width="16.54296875" customWidth="1"/>
    <col min="7" max="7" width="17.453125" customWidth="1"/>
    <col min="8" max="8" width="21.1796875" customWidth="1"/>
    <col min="9" max="9" width="16.1796875" customWidth="1"/>
    <col min="10" max="10" width="16.81640625" customWidth="1"/>
    <col min="11" max="11" width="17.26953125" customWidth="1"/>
    <col min="12" max="12" width="16.81640625" customWidth="1"/>
    <col min="13" max="13" width="17.26953125" customWidth="1"/>
    <col min="14" max="76" width="9.1796875" style="5"/>
  </cols>
  <sheetData>
    <row r="1" spans="1:62" ht="20" thickBot="1" x14ac:dyDescent="0.5">
      <c r="A1" s="96" t="s">
        <v>308</v>
      </c>
      <c r="B1" s="5"/>
      <c r="C1" s="5"/>
      <c r="D1" s="5"/>
      <c r="E1" s="5"/>
      <c r="F1" s="5"/>
      <c r="G1" s="5"/>
      <c r="H1" s="5"/>
      <c r="I1" s="5"/>
      <c r="J1" s="5"/>
      <c r="K1" s="5"/>
      <c r="L1" s="5"/>
      <c r="M1" s="5"/>
    </row>
    <row r="2" spans="1:62" ht="15" thickTop="1" x14ac:dyDescent="0.35">
      <c r="A2" s="152" t="s">
        <v>332</v>
      </c>
      <c r="B2" s="152"/>
      <c r="C2" s="152"/>
      <c r="D2" s="152"/>
      <c r="E2" s="152"/>
      <c r="F2" s="152"/>
      <c r="G2" s="152"/>
      <c r="H2" s="152"/>
      <c r="I2" s="5"/>
      <c r="J2" s="5"/>
      <c r="K2" s="5"/>
      <c r="L2" s="5"/>
      <c r="M2" s="5"/>
    </row>
    <row r="3" spans="1:62" x14ac:dyDescent="0.35">
      <c r="A3" s="152" t="s">
        <v>309</v>
      </c>
      <c r="B3" s="152"/>
      <c r="C3" s="152"/>
      <c r="D3" s="152"/>
      <c r="E3" s="152"/>
      <c r="F3" s="152"/>
      <c r="G3" s="152"/>
      <c r="H3" s="152"/>
      <c r="I3" s="5"/>
      <c r="J3" s="5"/>
      <c r="K3" s="5"/>
      <c r="L3" s="5"/>
      <c r="M3" s="5"/>
    </row>
    <row r="4" spans="1:62" x14ac:dyDescent="0.35">
      <c r="A4" s="152" t="s">
        <v>215</v>
      </c>
      <c r="B4" s="152"/>
      <c r="C4" s="152"/>
      <c r="D4" s="152"/>
      <c r="E4" s="152"/>
      <c r="F4" s="5"/>
      <c r="G4" s="5"/>
      <c r="H4" s="5"/>
      <c r="I4" s="5"/>
      <c r="J4" s="5"/>
      <c r="K4" s="5"/>
      <c r="L4" s="5"/>
      <c r="M4" s="5"/>
    </row>
    <row r="5" spans="1:62" x14ac:dyDescent="0.35">
      <c r="A5" s="152" t="s">
        <v>214</v>
      </c>
      <c r="B5" s="152"/>
      <c r="C5" s="152"/>
      <c r="D5" s="152"/>
      <c r="E5" s="5"/>
      <c r="F5" s="5"/>
      <c r="G5" s="5"/>
      <c r="H5" s="5"/>
      <c r="I5" s="5"/>
      <c r="J5" s="5"/>
      <c r="K5" s="5"/>
      <c r="L5" s="5"/>
      <c r="M5" s="5"/>
    </row>
    <row r="6" spans="1:62" x14ac:dyDescent="0.35">
      <c r="A6" s="5" t="s">
        <v>204</v>
      </c>
      <c r="B6" s="5"/>
      <c r="C6" s="5"/>
      <c r="D6" s="5"/>
      <c r="E6" s="5"/>
      <c r="F6" s="5"/>
      <c r="G6" s="5"/>
      <c r="H6" s="5"/>
      <c r="I6" s="265"/>
      <c r="J6" s="5"/>
      <c r="K6" s="5"/>
      <c r="L6" s="5"/>
      <c r="M6" s="5"/>
    </row>
    <row r="7" spans="1:62" ht="15" thickBot="1" x14ac:dyDescent="0.4">
      <c r="A7" s="146" t="s">
        <v>217</v>
      </c>
      <c r="B7" s="202" t="s">
        <v>373</v>
      </c>
      <c r="C7" s="202" t="s">
        <v>373</v>
      </c>
      <c r="D7" s="5"/>
      <c r="E7" s="5"/>
      <c r="F7" s="202" t="s">
        <v>373</v>
      </c>
      <c r="G7" s="202" t="s">
        <v>373</v>
      </c>
      <c r="H7" s="202" t="s">
        <v>373</v>
      </c>
      <c r="I7" s="202" t="s">
        <v>373</v>
      </c>
      <c r="J7" s="5"/>
      <c r="K7" s="5"/>
      <c r="L7" s="5"/>
      <c r="M7" s="5"/>
    </row>
    <row r="8" spans="1:62" x14ac:dyDescent="0.35">
      <c r="A8" s="5"/>
      <c r="B8" s="315" t="s">
        <v>189</v>
      </c>
      <c r="C8" s="314"/>
      <c r="D8" s="313" t="s">
        <v>190</v>
      </c>
      <c r="E8" s="314"/>
      <c r="F8" s="313" t="s">
        <v>187</v>
      </c>
      <c r="G8" s="314"/>
      <c r="H8" s="313" t="s">
        <v>188</v>
      </c>
      <c r="I8" s="314"/>
      <c r="J8" s="313" t="s">
        <v>191</v>
      </c>
      <c r="K8" s="314"/>
      <c r="L8" s="313" t="s">
        <v>489</v>
      </c>
      <c r="M8" s="314"/>
      <c r="O8" s="10" t="s">
        <v>161</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35">
      <c r="A9" s="102" t="s">
        <v>4</v>
      </c>
      <c r="B9" s="103" t="s">
        <v>192</v>
      </c>
      <c r="C9" s="103" t="s">
        <v>193</v>
      </c>
      <c r="D9" s="103" t="s">
        <v>192</v>
      </c>
      <c r="E9" s="103" t="s">
        <v>193</v>
      </c>
      <c r="F9" s="103" t="s">
        <v>192</v>
      </c>
      <c r="G9" s="103" t="s">
        <v>193</v>
      </c>
      <c r="H9" s="103" t="s">
        <v>192</v>
      </c>
      <c r="I9" s="103" t="s">
        <v>193</v>
      </c>
      <c r="J9" s="103" t="s">
        <v>192</v>
      </c>
      <c r="K9" s="103" t="s">
        <v>193</v>
      </c>
      <c r="L9" s="103" t="s">
        <v>192</v>
      </c>
      <c r="M9" s="103" t="s">
        <v>193</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35">
      <c r="A10" s="6">
        <f>'Project Information'!$B$9</f>
        <v>2033</v>
      </c>
      <c r="B10" s="197">
        <f>(Inputs!D$17*365)</f>
        <v>19757450</v>
      </c>
      <c r="C10" s="197">
        <f>(Inputs!E$17*365)</f>
        <v>19757450</v>
      </c>
      <c r="D10" s="41">
        <v>0</v>
      </c>
      <c r="E10" s="41">
        <v>0</v>
      </c>
      <c r="F10" s="197">
        <f>(Inputs!D$18*365)</f>
        <v>147460</v>
      </c>
      <c r="G10" s="197">
        <f>(Inputs!E$18*365)</f>
        <v>154833.00000000003</v>
      </c>
      <c r="H10" s="197">
        <f>(Inputs!D$19*365)</f>
        <v>13140</v>
      </c>
      <c r="I10" s="197">
        <f>(Inputs!E$19*365)</f>
        <v>13797.000000000002</v>
      </c>
      <c r="J10" s="41">
        <v>0</v>
      </c>
      <c r="K10" s="41">
        <v>0</v>
      </c>
      <c r="L10" s="271">
        <f>Inputs!E34*365</f>
        <v>199655</v>
      </c>
      <c r="M10" s="271">
        <f>Inputs!E34*365</f>
        <v>199655</v>
      </c>
      <c r="O10" s="13"/>
      <c r="P10" s="220" t="s">
        <v>423</v>
      </c>
      <c r="Q10" s="219"/>
      <c r="R10" s="219"/>
      <c r="S10" s="219"/>
      <c r="T10" s="219"/>
      <c r="U10" s="219"/>
      <c r="V10" s="219"/>
      <c r="W10" s="219"/>
      <c r="X10" s="219"/>
      <c r="Y10" s="219"/>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35">
      <c r="A11" s="1">
        <f>IF(A10&lt;'Project Information'!B$11,A10+1,"")</f>
        <v>2034</v>
      </c>
      <c r="B11" s="197">
        <f>B10*(1+(Inputs!D$6/20))</f>
        <v>19796964.899999999</v>
      </c>
      <c r="C11" s="197">
        <f>C10*(1+(Inputs!E$6/20))</f>
        <v>19796964.899999999</v>
      </c>
      <c r="D11" s="41">
        <v>0</v>
      </c>
      <c r="E11" s="41">
        <v>0</v>
      </c>
      <c r="F11" s="197">
        <f>F10*(1+(Inputs!D$7/20))</f>
        <v>147754.92000000001</v>
      </c>
      <c r="G11" s="197">
        <f>G10*(1+(Inputs!E$7/20))</f>
        <v>155142.66600000003</v>
      </c>
      <c r="H11" s="197">
        <f>H10*(1+(Inputs!D$8/20))</f>
        <v>13166.28</v>
      </c>
      <c r="I11" s="197">
        <f>I10*(1+(Inputs!E$8/20))</f>
        <v>13824.594000000001</v>
      </c>
      <c r="J11" s="41">
        <v>0</v>
      </c>
      <c r="K11" s="41">
        <v>0</v>
      </c>
      <c r="L11" s="197">
        <f>L10*(1+(Inputs!D$6/20))</f>
        <v>200054.31</v>
      </c>
      <c r="M11" s="197">
        <f>M10*(1+(Inputs!E$6/20))</f>
        <v>200054.31</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35">
      <c r="A12" s="1">
        <f>IF(A11&lt;'Project Information'!B$11,A11+1,"")</f>
        <v>2035</v>
      </c>
      <c r="B12" s="197">
        <f>B11*(1+(Inputs!D$6/20))</f>
        <v>19836558.829799999</v>
      </c>
      <c r="C12" s="197">
        <f>C11*(1+(Inputs!E$6/20))</f>
        <v>19836558.829799999</v>
      </c>
      <c r="D12" s="41">
        <v>0</v>
      </c>
      <c r="E12" s="41">
        <v>0</v>
      </c>
      <c r="F12" s="197">
        <f>F11*(1+(Inputs!D$7/20))</f>
        <v>148050.42984000003</v>
      </c>
      <c r="G12" s="197">
        <f>G11*(1+(Inputs!E$7/20))</f>
        <v>155452.95133200003</v>
      </c>
      <c r="H12" s="197">
        <f>H11*(1+(Inputs!D$8/20))</f>
        <v>13192.612560000001</v>
      </c>
      <c r="I12" s="197">
        <f>I11*(1+(Inputs!E$8/20))</f>
        <v>13852.243188</v>
      </c>
      <c r="J12" s="41">
        <v>0</v>
      </c>
      <c r="K12" s="41">
        <v>0</v>
      </c>
      <c r="L12" s="197">
        <f>L11*(1+(Inputs!D$6/20))</f>
        <v>200454.41862000001</v>
      </c>
      <c r="M12" s="197">
        <f>M11*(1+(Inputs!E$6/20))</f>
        <v>200454.41862000001</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35">
      <c r="A13" s="1">
        <f>IF(A12&lt;'Project Information'!B$11,A12+1,"")</f>
        <v>2036</v>
      </c>
      <c r="B13" s="197">
        <f>B12*(1+(Inputs!D$6/20))</f>
        <v>19876231.947459597</v>
      </c>
      <c r="C13" s="197">
        <f>C12*(1+(Inputs!E$6/20))</f>
        <v>19876231.947459597</v>
      </c>
      <c r="D13" s="41">
        <v>0</v>
      </c>
      <c r="E13" s="41">
        <v>0</v>
      </c>
      <c r="F13" s="197">
        <f>F12*(1+(Inputs!D$7/20))</f>
        <v>148346.53069968004</v>
      </c>
      <c r="G13" s="197">
        <f>G12*(1+(Inputs!E$7/20))</f>
        <v>155763.85723466403</v>
      </c>
      <c r="H13" s="197">
        <f>H12*(1+(Inputs!D$8/20))</f>
        <v>13218.997785120002</v>
      </c>
      <c r="I13" s="197">
        <f>I12*(1+(Inputs!E$8/20))</f>
        <v>13879.947674376001</v>
      </c>
      <c r="J13" s="41">
        <v>0</v>
      </c>
      <c r="K13" s="41">
        <v>0</v>
      </c>
      <c r="L13" s="197">
        <f>L12*(1+(Inputs!D$6/20))</f>
        <v>200855.32745724003</v>
      </c>
      <c r="M13" s="197">
        <f>M12*(1+(Inputs!E$6/20))</f>
        <v>200855.32745724003</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35">
      <c r="A14" s="1">
        <f>IF(A13&lt;'Project Information'!B$11,A13+1,"")</f>
        <v>2037</v>
      </c>
      <c r="B14" s="197">
        <f>B13*(1+(Inputs!D$6/20))</f>
        <v>19915984.411354516</v>
      </c>
      <c r="C14" s="197">
        <f>C13*(1+(Inputs!E$6/20))</f>
        <v>19915984.411354516</v>
      </c>
      <c r="D14" s="41">
        <v>0</v>
      </c>
      <c r="E14" s="41">
        <v>0</v>
      </c>
      <c r="F14" s="197">
        <f>F13*(1+(Inputs!D$7/20))</f>
        <v>148643.2237610794</v>
      </c>
      <c r="G14" s="197">
        <f>G13*(1+(Inputs!E$7/20))</f>
        <v>156075.38494913335</v>
      </c>
      <c r="H14" s="197">
        <f>H13*(1+(Inputs!D$8/20))</f>
        <v>13245.435780690243</v>
      </c>
      <c r="I14" s="197">
        <f>I13*(1+(Inputs!E$8/20))</f>
        <v>13907.707569724753</v>
      </c>
      <c r="J14" s="41">
        <v>0</v>
      </c>
      <c r="K14" s="41">
        <v>0</v>
      </c>
      <c r="L14" s="197">
        <f>L13*(1+(Inputs!D$6/20))</f>
        <v>201257.03811215449</v>
      </c>
      <c r="M14" s="197">
        <f>M13*(1+(Inputs!E$6/20))</f>
        <v>201257.03811215449</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35">
      <c r="A15" s="1">
        <f>IF(A14&lt;'Project Information'!B$11,A14+1,"")</f>
        <v>2038</v>
      </c>
      <c r="B15" s="197">
        <f>B14*(1+(Inputs!D$6/20))</f>
        <v>19955816.380177226</v>
      </c>
      <c r="C15" s="197">
        <f>C14*(1+(Inputs!E$6/20))</f>
        <v>19955816.380177226</v>
      </c>
      <c r="D15" s="41">
        <v>0</v>
      </c>
      <c r="E15" s="41">
        <v>0</v>
      </c>
      <c r="F15" s="197">
        <f>F14*(1+(Inputs!D$7/20))</f>
        <v>148940.51020860157</v>
      </c>
      <c r="G15" s="197">
        <f>G14*(1+(Inputs!E$7/20))</f>
        <v>156387.53571903161</v>
      </c>
      <c r="H15" s="197">
        <f>H14*(1+(Inputs!D$8/20))</f>
        <v>13271.926652251623</v>
      </c>
      <c r="I15" s="197">
        <f>I14*(1+(Inputs!E$8/20))</f>
        <v>13935.522984864203</v>
      </c>
      <c r="J15" s="41">
        <v>0</v>
      </c>
      <c r="K15" s="41">
        <v>0</v>
      </c>
      <c r="L15" s="197">
        <f>L14*(1+(Inputs!D$6/20))</f>
        <v>201659.55218837879</v>
      </c>
      <c r="M15" s="197">
        <f>M14*(1+(Inputs!E$6/20))</f>
        <v>201659.55218837879</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35">
      <c r="A16" s="1">
        <f>IF(A15&lt;'Project Information'!B$11,A15+1,"")</f>
        <v>2039</v>
      </c>
      <c r="B16" s="197">
        <f>B15*(1+(Inputs!D$6/20))</f>
        <v>19995728.012937579</v>
      </c>
      <c r="C16" s="197">
        <f>C15*(1+(Inputs!E$6/20))</f>
        <v>19995728.012937579</v>
      </c>
      <c r="D16" s="41">
        <v>0</v>
      </c>
      <c r="E16" s="41">
        <v>0</v>
      </c>
      <c r="F16" s="197">
        <f>F15*(1+(Inputs!D$7/20))</f>
        <v>149238.39122901877</v>
      </c>
      <c r="G16" s="197">
        <f>G15*(1+(Inputs!E$7/20))</f>
        <v>156700.31079046967</v>
      </c>
      <c r="H16" s="197">
        <f>H15*(1+(Inputs!D$8/20))</f>
        <v>13298.470505556126</v>
      </c>
      <c r="I16" s="197">
        <f>I15*(1+(Inputs!E$8/20))</f>
        <v>13963.394030833932</v>
      </c>
      <c r="J16" s="41">
        <v>0</v>
      </c>
      <c r="K16" s="41">
        <v>0</v>
      </c>
      <c r="L16" s="197">
        <f>L15*(1+(Inputs!D$6/20))</f>
        <v>202062.87129275553</v>
      </c>
      <c r="M16" s="197">
        <f>M15*(1+(Inputs!E$6/20))</f>
        <v>202062.87129275553</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35">
      <c r="A17" s="1">
        <f>IF(A16&lt;'Project Information'!B$11,A16+1,"")</f>
        <v>2040</v>
      </c>
      <c r="B17" s="197">
        <f>B16*(1+(Inputs!D$6/20))</f>
        <v>20035719.468963455</v>
      </c>
      <c r="C17" s="197">
        <f>C16*(1+(Inputs!E$6/20))</f>
        <v>20035719.468963455</v>
      </c>
      <c r="D17" s="41">
        <v>0</v>
      </c>
      <c r="E17" s="41">
        <v>0</v>
      </c>
      <c r="F17" s="197">
        <f>F16*(1+(Inputs!D$7/20))</f>
        <v>149536.86801147682</v>
      </c>
      <c r="G17" s="197">
        <f>G16*(1+(Inputs!E$7/20))</f>
        <v>157013.71141205062</v>
      </c>
      <c r="H17" s="197">
        <f>H16*(1+(Inputs!D$8/20))</f>
        <v>13325.067446567238</v>
      </c>
      <c r="I17" s="197">
        <f>I16*(1+(Inputs!E$8/20))</f>
        <v>13991.3208188956</v>
      </c>
      <c r="J17" s="41">
        <v>0</v>
      </c>
      <c r="K17" s="41">
        <v>0</v>
      </c>
      <c r="L17" s="197">
        <f>L16*(1+(Inputs!D$6/20))</f>
        <v>202466.99703534105</v>
      </c>
      <c r="M17" s="197">
        <f>M16*(1+(Inputs!E$6/20))</f>
        <v>202466.99703534105</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35">
      <c r="A18" s="1">
        <f>IF(A17&lt;'Project Information'!B$11,A17+1,"")</f>
        <v>2041</v>
      </c>
      <c r="B18" s="197">
        <f>B17*(1+(Inputs!D$6/20))</f>
        <v>20075790.907901384</v>
      </c>
      <c r="C18" s="197">
        <f>C17*(1+(Inputs!E$6/20))</f>
        <v>20075790.907901384</v>
      </c>
      <c r="D18" s="41">
        <v>0</v>
      </c>
      <c r="E18" s="41">
        <v>0</v>
      </c>
      <c r="F18" s="197">
        <f>F17*(1+(Inputs!D$7/20))</f>
        <v>149835.94174749978</v>
      </c>
      <c r="G18" s="197">
        <f>G17*(1+(Inputs!E$7/20))</f>
        <v>157327.7388348747</v>
      </c>
      <c r="H18" s="197">
        <f>H17*(1+(Inputs!D$8/20))</f>
        <v>13351.717581460372</v>
      </c>
      <c r="I18" s="197">
        <f>I17*(1+(Inputs!E$8/20))</f>
        <v>14019.303460533391</v>
      </c>
      <c r="J18" s="41">
        <v>0</v>
      </c>
      <c r="K18" s="41">
        <v>0</v>
      </c>
      <c r="L18" s="197">
        <f>L17*(1+(Inputs!D$6/20))</f>
        <v>202871.93102941173</v>
      </c>
      <c r="M18" s="197">
        <f>M17*(1+(Inputs!E$6/20))</f>
        <v>202871.93102941173</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35">
      <c r="A19" s="1">
        <f>IF(A18&lt;'Project Information'!B$11,A18+1,"")</f>
        <v>2042</v>
      </c>
      <c r="B19" s="197">
        <f>B18*(1+(Inputs!D$6/20))</f>
        <v>20115942.489717185</v>
      </c>
      <c r="C19" s="197">
        <f>C18*(1+(Inputs!E$6/20))</f>
        <v>20115942.489717185</v>
      </c>
      <c r="D19" s="41">
        <v>0</v>
      </c>
      <c r="E19" s="41">
        <v>0</v>
      </c>
      <c r="F19" s="197">
        <f>F18*(1+(Inputs!D$7/20))</f>
        <v>150135.61363099478</v>
      </c>
      <c r="G19" s="197">
        <f>G18*(1+(Inputs!E$7/20))</f>
        <v>157642.39431254446</v>
      </c>
      <c r="H19" s="197">
        <f>H18*(1+(Inputs!D$8/20))</f>
        <v>13378.421016623293</v>
      </c>
      <c r="I19" s="197">
        <f>I18*(1+(Inputs!E$8/20))</f>
        <v>14047.342067454458</v>
      </c>
      <c r="J19" s="41">
        <v>0</v>
      </c>
      <c r="K19" s="41">
        <v>0</v>
      </c>
      <c r="L19" s="197">
        <f>L18*(1+(Inputs!D$6/20))</f>
        <v>203277.67489147055</v>
      </c>
      <c r="M19" s="197">
        <f>M18*(1+(Inputs!E$6/20))</f>
        <v>203277.67489147055</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35">
      <c r="A20" s="1">
        <f>IF(A19&lt;'Project Information'!B$11,A19+1,"")</f>
        <v>2043</v>
      </c>
      <c r="B20" s="197">
        <f>B19*(1+(Inputs!D$6/20))</f>
        <v>20156174.37469662</v>
      </c>
      <c r="C20" s="197">
        <f>C19*(1+(Inputs!E$6/20))</f>
        <v>20156174.37469662</v>
      </c>
      <c r="D20" s="41">
        <v>0</v>
      </c>
      <c r="E20" s="41">
        <v>0</v>
      </c>
      <c r="F20" s="197">
        <f>F19*(1+(Inputs!D$7/20))</f>
        <v>150435.88485825676</v>
      </c>
      <c r="G20" s="197">
        <f>G19*(1+(Inputs!E$7/20))</f>
        <v>157957.67910116955</v>
      </c>
      <c r="H20" s="197">
        <f>H19*(1+(Inputs!D$8/20))</f>
        <v>13405.17785865654</v>
      </c>
      <c r="I20" s="197">
        <f>I19*(1+(Inputs!E$8/20))</f>
        <v>14075.436751589366</v>
      </c>
      <c r="J20" s="41">
        <v>0</v>
      </c>
      <c r="K20" s="41">
        <v>0</v>
      </c>
      <c r="L20" s="197">
        <f>L19*(1+(Inputs!D$6/20))</f>
        <v>203684.23024125351</v>
      </c>
      <c r="M20" s="197">
        <f>M19*(1+(Inputs!E$6/20))</f>
        <v>203684.23024125351</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35">
      <c r="A21" s="1">
        <f>IF(A20&lt;'Project Information'!B$11,A20+1,"")</f>
        <v>2044</v>
      </c>
      <c r="B21" s="197">
        <f>B20*(1+(Inputs!D$6/20))</f>
        <v>20196486.723446012</v>
      </c>
      <c r="C21" s="197">
        <f>C20*(1+(Inputs!E$6/20))</f>
        <v>20196486.723446012</v>
      </c>
      <c r="D21" s="41">
        <v>0</v>
      </c>
      <c r="E21" s="41">
        <v>0</v>
      </c>
      <c r="F21" s="197">
        <f>F20*(1+(Inputs!D$7/20))</f>
        <v>150736.75662797329</v>
      </c>
      <c r="G21" s="197">
        <f>G20*(1+(Inputs!E$7/20))</f>
        <v>158273.59445937187</v>
      </c>
      <c r="H21" s="197">
        <f>H20*(1+(Inputs!D$8/20))</f>
        <v>13431.988214373852</v>
      </c>
      <c r="I21" s="197">
        <f>I20*(1+(Inputs!E$8/20))</f>
        <v>14103.587625092545</v>
      </c>
      <c r="J21" s="41">
        <v>0</v>
      </c>
      <c r="K21" s="41">
        <v>0</v>
      </c>
      <c r="L21" s="197">
        <f>L20*(1+(Inputs!D$6/20))</f>
        <v>204091.59870173602</v>
      </c>
      <c r="M21" s="197">
        <f>M20*(1+(Inputs!E$6/20))</f>
        <v>204091.59870173602</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35">
      <c r="A22" s="1">
        <f>IF(A21&lt;'Project Information'!B$11,A21+1,"")</f>
        <v>2045</v>
      </c>
      <c r="B22" s="197">
        <f>B21*(1+(Inputs!D$6/20))</f>
        <v>20236879.696892902</v>
      </c>
      <c r="C22" s="197">
        <f>C21*(1+(Inputs!E$6/20))</f>
        <v>20236879.696892902</v>
      </c>
      <c r="D22" s="41">
        <v>0</v>
      </c>
      <c r="E22" s="41">
        <v>0</v>
      </c>
      <c r="F22" s="197">
        <f>F21*(1+(Inputs!D$7/20))</f>
        <v>151038.23014122923</v>
      </c>
      <c r="G22" s="197">
        <f>G21*(1+(Inputs!E$7/20))</f>
        <v>158590.14164829062</v>
      </c>
      <c r="H22" s="197">
        <f>H21*(1+(Inputs!D$8/20))</f>
        <v>13458.8521908026</v>
      </c>
      <c r="I22" s="197">
        <f>I21*(1+(Inputs!E$8/20))</f>
        <v>14131.79480034273</v>
      </c>
      <c r="J22" s="41">
        <v>0</v>
      </c>
      <c r="K22" s="41">
        <v>0</v>
      </c>
      <c r="L22" s="197">
        <f>L21*(1+(Inputs!D$6/20))</f>
        <v>204499.78189913949</v>
      </c>
      <c r="M22" s="197">
        <f>M21*(1+(Inputs!E$6/20))</f>
        <v>204499.78189913949</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35">
      <c r="A23" s="1">
        <f>IF(A22&lt;'Project Information'!B$11,A22+1,"")</f>
        <v>2046</v>
      </c>
      <c r="B23" s="197">
        <f>B22*(1+(Inputs!D$6/20))</f>
        <v>20277353.456286687</v>
      </c>
      <c r="C23" s="197">
        <f>C22*(1+(Inputs!E$6/20))</f>
        <v>20277353.456286687</v>
      </c>
      <c r="D23" s="41">
        <v>0</v>
      </c>
      <c r="E23" s="41">
        <v>0</v>
      </c>
      <c r="F23" s="197">
        <f>F22*(1+(Inputs!D$7/20))</f>
        <v>151340.30660151169</v>
      </c>
      <c r="G23" s="197">
        <f>G22*(1+(Inputs!E$7/20))</f>
        <v>158907.32193158721</v>
      </c>
      <c r="H23" s="197">
        <f>H22*(1+(Inputs!D$8/20))</f>
        <v>13485.769895184205</v>
      </c>
      <c r="I23" s="197">
        <f>I22*(1+(Inputs!E$8/20))</f>
        <v>14160.058389943415</v>
      </c>
      <c r="J23" s="41">
        <v>0</v>
      </c>
      <c r="K23" s="41">
        <v>0</v>
      </c>
      <c r="L23" s="197">
        <f>L22*(1+(Inputs!D$6/20))</f>
        <v>204908.78146293777</v>
      </c>
      <c r="M23" s="197">
        <f>M22*(1+(Inputs!E$6/20))</f>
        <v>204908.78146293777</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35">
      <c r="A24" s="1">
        <f>IF(A23&lt;'Project Information'!B$11,A23+1,"")</f>
        <v>2047</v>
      </c>
      <c r="B24" s="197">
        <f>B23*(1+(Inputs!D$6/20))</f>
        <v>20317908.163199261</v>
      </c>
      <c r="C24" s="197">
        <f>C23*(1+(Inputs!E$6/20))</f>
        <v>20317908.163199261</v>
      </c>
      <c r="D24" s="41">
        <v>0</v>
      </c>
      <c r="E24" s="41">
        <v>0</v>
      </c>
      <c r="F24" s="197">
        <f>F23*(1+(Inputs!D$7/20))</f>
        <v>151642.98721471473</v>
      </c>
      <c r="G24" s="197">
        <f>G23*(1+(Inputs!E$7/20))</f>
        <v>159225.13657545039</v>
      </c>
      <c r="H24" s="197">
        <f>H23*(1+(Inputs!D$8/20))</f>
        <v>13512.741434974574</v>
      </c>
      <c r="I24" s="197">
        <f>I23*(1+(Inputs!E$8/20))</f>
        <v>14188.378506723302</v>
      </c>
      <c r="J24" s="41">
        <v>0</v>
      </c>
      <c r="K24" s="41">
        <v>0</v>
      </c>
      <c r="L24" s="197">
        <f>L23*(1+(Inputs!D$6/20))</f>
        <v>205318.59902586363</v>
      </c>
      <c r="M24" s="197">
        <f>M23*(1+(Inputs!E$6/20))</f>
        <v>205318.59902586363</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35">
      <c r="A25" s="1">
        <f>IF(A24&lt;'Project Information'!B$11,A24+1,"")</f>
        <v>2048</v>
      </c>
      <c r="B25" s="197">
        <f>B24*(1+(Inputs!D$6/20))</f>
        <v>20358543.979525659</v>
      </c>
      <c r="C25" s="197">
        <f>C24*(1+(Inputs!E$6/20))</f>
        <v>20358543.979525659</v>
      </c>
      <c r="D25" s="41">
        <v>0</v>
      </c>
      <c r="E25" s="41">
        <v>0</v>
      </c>
      <c r="F25" s="197">
        <f>F24*(1+(Inputs!D$7/20))</f>
        <v>151946.27318914415</v>
      </c>
      <c r="G25" s="197">
        <f>G24*(1+(Inputs!E$7/20))</f>
        <v>159543.58684860129</v>
      </c>
      <c r="H25" s="197">
        <f>H24*(1+(Inputs!D$8/20))</f>
        <v>13539.766917844523</v>
      </c>
      <c r="I25" s="197">
        <f>I24*(1+(Inputs!E$8/20))</f>
        <v>14216.755263736748</v>
      </c>
      <c r="J25" s="41">
        <v>0</v>
      </c>
      <c r="K25" s="41">
        <v>0</v>
      </c>
      <c r="L25" s="197">
        <f>L24*(1+(Inputs!D$6/20))</f>
        <v>205729.23622391536</v>
      </c>
      <c r="M25" s="197">
        <f>M24*(1+(Inputs!E$6/20))</f>
        <v>205729.23622391536</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35">
      <c r="A26" s="1">
        <f>IF(A25&lt;'Project Information'!B$11,A25+1,"")</f>
        <v>2049</v>
      </c>
      <c r="B26" s="197">
        <f>B25*(1+(Inputs!D$6/20))</f>
        <v>20399261.06748471</v>
      </c>
      <c r="C26" s="197">
        <f>C25*(1+(Inputs!E$6/20))</f>
        <v>20399261.06748471</v>
      </c>
      <c r="D26" s="41">
        <v>0</v>
      </c>
      <c r="E26" s="41">
        <v>0</v>
      </c>
      <c r="F26" s="197">
        <f>F25*(1+(Inputs!D$7/20))</f>
        <v>152250.16573552243</v>
      </c>
      <c r="G26" s="197">
        <f>G25*(1+(Inputs!E$7/20))</f>
        <v>159862.67402229848</v>
      </c>
      <c r="H26" s="197">
        <f>H25*(1+(Inputs!D$8/20))</f>
        <v>13566.846451680212</v>
      </c>
      <c r="I26" s="197">
        <f>I25*(1+(Inputs!E$8/20))</f>
        <v>14245.188774264221</v>
      </c>
      <c r="J26" s="41">
        <v>0</v>
      </c>
      <c r="K26" s="41">
        <v>0</v>
      </c>
      <c r="L26" s="197">
        <f>L25*(1+(Inputs!D$6/20))</f>
        <v>206140.69469636318</v>
      </c>
      <c r="M26" s="197">
        <f>M25*(1+(Inputs!E$6/20))</f>
        <v>206140.69469636318</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35">
      <c r="A27" s="1">
        <f>IF(A26&lt;'Project Information'!B$11,A26+1,"")</f>
        <v>2050</v>
      </c>
      <c r="B27" s="197">
        <f>B26*(1+(Inputs!D$6/20))</f>
        <v>20440059.589619681</v>
      </c>
      <c r="C27" s="197">
        <f>C26*(1+(Inputs!E$6/20))</f>
        <v>20440059.589619681</v>
      </c>
      <c r="D27" s="41">
        <v>0</v>
      </c>
      <c r="E27" s="41">
        <v>0</v>
      </c>
      <c r="F27" s="197">
        <f>F26*(1+(Inputs!D$7/20))</f>
        <v>152554.66606699346</v>
      </c>
      <c r="G27" s="197">
        <f>G26*(1+(Inputs!E$7/20))</f>
        <v>160182.39937034308</v>
      </c>
      <c r="H27" s="197">
        <f>H26*(1+(Inputs!D$8/20))</f>
        <v>13593.980144583573</v>
      </c>
      <c r="I27" s="197">
        <f>I26*(1+(Inputs!E$8/20))</f>
        <v>14273.67915181275</v>
      </c>
      <c r="J27" s="41">
        <v>0</v>
      </c>
      <c r="K27" s="41">
        <v>0</v>
      </c>
      <c r="L27" s="197">
        <f>L26*(1+(Inputs!D$6/20))</f>
        <v>206552.97608575592</v>
      </c>
      <c r="M27" s="197">
        <f>M26*(1+(Inputs!E$6/20))</f>
        <v>206552.97608575592</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35">
      <c r="A28" s="1">
        <f>IF(A27&lt;'Project Information'!B$11,A27+1,"")</f>
        <v>2051</v>
      </c>
      <c r="B28" s="197">
        <f>B27*(1+(Inputs!D$6/20))</f>
        <v>20480939.708798919</v>
      </c>
      <c r="C28" s="197">
        <f>C27*(1+(Inputs!E$6/20))</f>
        <v>20480939.708798919</v>
      </c>
      <c r="D28" s="41">
        <v>0</v>
      </c>
      <c r="E28" s="41">
        <v>0</v>
      </c>
      <c r="F28" s="197">
        <f>F27*(1+(Inputs!D$7/20))</f>
        <v>152859.77539912745</v>
      </c>
      <c r="G28" s="197">
        <f>G27*(1+(Inputs!E$7/20))</f>
        <v>160502.76416908376</v>
      </c>
      <c r="H28" s="197">
        <f>H27*(1+(Inputs!D$8/20))</f>
        <v>13621.168104872741</v>
      </c>
      <c r="I28" s="197">
        <f>I27*(1+(Inputs!E$8/20))</f>
        <v>14302.226510116376</v>
      </c>
      <c r="J28" s="41">
        <v>0</v>
      </c>
      <c r="K28" s="41">
        <v>0</v>
      </c>
      <c r="L28" s="197">
        <f>L27*(1+(Inputs!D$6/20))</f>
        <v>206966.08203792744</v>
      </c>
      <c r="M28" s="197">
        <f>M27*(1+(Inputs!E$6/20))</f>
        <v>206966.08203792744</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35">
      <c r="A29" s="1">
        <f>IF(A28&lt;'Project Information'!B$11,A28+1,"")</f>
        <v>2052</v>
      </c>
      <c r="B29" s="197">
        <f>B28*(1+(Inputs!D$6/20))</f>
        <v>20521901.588216517</v>
      </c>
      <c r="C29" s="197">
        <f>C28*(1+(Inputs!E$6/20))</f>
        <v>20521901.588216517</v>
      </c>
      <c r="D29" s="41">
        <v>0</v>
      </c>
      <c r="E29" s="41">
        <v>0</v>
      </c>
      <c r="F29" s="197">
        <f>F28*(1+(Inputs!D$7/20))</f>
        <v>153165.49494992572</v>
      </c>
      <c r="G29" s="197">
        <f>G28*(1+(Inputs!E$7/20))</f>
        <v>160823.76969742193</v>
      </c>
      <c r="H29" s="197">
        <f>H28*(1+(Inputs!D$8/20))</f>
        <v>13648.410441082486</v>
      </c>
      <c r="I29" s="197">
        <f>I28*(1+(Inputs!E$8/20))</f>
        <v>14330.830963136608</v>
      </c>
      <c r="J29" s="41">
        <v>0</v>
      </c>
      <c r="K29" s="41">
        <v>0</v>
      </c>
      <c r="L29" s="197">
        <f>L28*(1+(Inputs!D$6/20))</f>
        <v>207380.01420200328</v>
      </c>
      <c r="M29" s="197">
        <f>M28*(1+(Inputs!E$6/20))</f>
        <v>207380.01420200328</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35">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35">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35">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35">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35">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35">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35">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35">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35">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35">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35">
      <c r="O40" s="147"/>
      <c r="BJ40" s="148"/>
    </row>
    <row r="41" spans="1:62" s="5" customFormat="1" x14ac:dyDescent="0.35">
      <c r="O41" s="147"/>
      <c r="BJ41" s="148"/>
    </row>
    <row r="42" spans="1:62" s="5" customFormat="1" x14ac:dyDescent="0.35">
      <c r="O42" s="147"/>
      <c r="BJ42" s="148"/>
    </row>
    <row r="43" spans="1:62" s="5" customFormat="1" x14ac:dyDescent="0.35">
      <c r="O43" s="147"/>
      <c r="BJ43" s="148"/>
    </row>
    <row r="44" spans="1:62" s="5" customFormat="1" x14ac:dyDescent="0.35">
      <c r="O44" s="147"/>
      <c r="BJ44" s="148"/>
    </row>
    <row r="45" spans="1:62" s="5" customFormat="1" x14ac:dyDescent="0.35">
      <c r="O45" s="147"/>
      <c r="BJ45" s="148"/>
    </row>
    <row r="46" spans="1:62" s="5" customFormat="1" x14ac:dyDescent="0.35">
      <c r="O46" s="147"/>
      <c r="BJ46" s="148"/>
    </row>
    <row r="47" spans="1:62" s="5" customFormat="1" x14ac:dyDescent="0.35">
      <c r="O47" s="147"/>
      <c r="BJ47" s="148"/>
    </row>
    <row r="48" spans="1:62" s="5" customFormat="1" ht="15" thickBot="1" x14ac:dyDescent="0.4">
      <c r="O48" s="149"/>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1"/>
    </row>
    <row r="49" s="5" customFormat="1" x14ac:dyDescent="0.35"/>
    <row r="50" s="5" customFormat="1" x14ac:dyDescent="0.35"/>
    <row r="51" s="5" customFormat="1" x14ac:dyDescent="0.35"/>
    <row r="52" s="5" customFormat="1" x14ac:dyDescent="0.35"/>
    <row r="53" s="5" customFormat="1" x14ac:dyDescent="0.35"/>
    <row r="54" s="5" customFormat="1" x14ac:dyDescent="0.35"/>
    <row r="55" s="5" customFormat="1" x14ac:dyDescent="0.35"/>
    <row r="56" s="5" customFormat="1" x14ac:dyDescent="0.35"/>
    <row r="57" s="5" customFormat="1" x14ac:dyDescent="0.35"/>
    <row r="58" s="5" customFormat="1" x14ac:dyDescent="0.35"/>
    <row r="59" s="5" customFormat="1" x14ac:dyDescent="0.35"/>
    <row r="60" s="5" customFormat="1" x14ac:dyDescent="0.35"/>
    <row r="61" s="5" customFormat="1" x14ac:dyDescent="0.35"/>
    <row r="62" s="5" customFormat="1" x14ac:dyDescent="0.35"/>
    <row r="63" s="5" customFormat="1" x14ac:dyDescent="0.35"/>
    <row r="64" s="5" customFormat="1" x14ac:dyDescent="0.35"/>
    <row r="65" s="5" customFormat="1" x14ac:dyDescent="0.35"/>
    <row r="66" s="5" customFormat="1" x14ac:dyDescent="0.35"/>
    <row r="67" s="5" customFormat="1" x14ac:dyDescent="0.35"/>
    <row r="68" s="5" customFormat="1" x14ac:dyDescent="0.35"/>
    <row r="69" s="5" customFormat="1" x14ac:dyDescent="0.35"/>
    <row r="70" s="5" customFormat="1" x14ac:dyDescent="0.35"/>
    <row r="71" s="5" customFormat="1" x14ac:dyDescent="0.35"/>
    <row r="72" s="5" customFormat="1" x14ac:dyDescent="0.35"/>
    <row r="73" s="5" customFormat="1" x14ac:dyDescent="0.35"/>
    <row r="74" s="5" customFormat="1" x14ac:dyDescent="0.35"/>
    <row r="75" s="5" customFormat="1" x14ac:dyDescent="0.35"/>
    <row r="76" s="5" customFormat="1" x14ac:dyDescent="0.35"/>
    <row r="77" s="5" customFormat="1" x14ac:dyDescent="0.35"/>
    <row r="78" s="5" customFormat="1" x14ac:dyDescent="0.35"/>
    <row r="79" s="5" customFormat="1" x14ac:dyDescent="0.35"/>
    <row r="80" s="5" customFormat="1" x14ac:dyDescent="0.35"/>
    <row r="81" s="5" customFormat="1" x14ac:dyDescent="0.35"/>
    <row r="82" s="5" customFormat="1" x14ac:dyDescent="0.35"/>
    <row r="83" s="5" customFormat="1" x14ac:dyDescent="0.35"/>
    <row r="84" s="5" customFormat="1" x14ac:dyDescent="0.35"/>
    <row r="85" s="5" customFormat="1" x14ac:dyDescent="0.35"/>
    <row r="86" s="5" customFormat="1" x14ac:dyDescent="0.35"/>
    <row r="87" s="5" customFormat="1" x14ac:dyDescent="0.35"/>
    <row r="88" s="5" customFormat="1" x14ac:dyDescent="0.35"/>
    <row r="89" s="5" customFormat="1" x14ac:dyDescent="0.35"/>
    <row r="90" s="5" customFormat="1" x14ac:dyDescent="0.35"/>
    <row r="91" s="5" customFormat="1" x14ac:dyDescent="0.35"/>
    <row r="92" s="5" customFormat="1" x14ac:dyDescent="0.35"/>
    <row r="93" s="5" customFormat="1" x14ac:dyDescent="0.35"/>
    <row r="94" s="5" customFormat="1" x14ac:dyDescent="0.35"/>
    <row r="95" s="5" customFormat="1" x14ac:dyDescent="0.35"/>
    <row r="96" s="5" customFormat="1" x14ac:dyDescent="0.35"/>
    <row r="97" s="5" customFormat="1" x14ac:dyDescent="0.35"/>
    <row r="98" s="5" customFormat="1" x14ac:dyDescent="0.35"/>
    <row r="99" s="5" customFormat="1" x14ac:dyDescent="0.35"/>
    <row r="100" s="5" customFormat="1" x14ac:dyDescent="0.35"/>
    <row r="101" s="5" customFormat="1" x14ac:dyDescent="0.35"/>
    <row r="102" s="5" customFormat="1" x14ac:dyDescent="0.35"/>
    <row r="103" s="5" customFormat="1" x14ac:dyDescent="0.35"/>
    <row r="104" s="5" customFormat="1" x14ac:dyDescent="0.35"/>
    <row r="105" s="5" customFormat="1" x14ac:dyDescent="0.35"/>
    <row r="106" s="5" customFormat="1" x14ac:dyDescent="0.35"/>
    <row r="107" s="5" customFormat="1" x14ac:dyDescent="0.35"/>
    <row r="108" s="5" customFormat="1" x14ac:dyDescent="0.35"/>
    <row r="109" s="5" customFormat="1" x14ac:dyDescent="0.35"/>
    <row r="110" s="5" customFormat="1" x14ac:dyDescent="0.35"/>
    <row r="111" s="5" customFormat="1" x14ac:dyDescent="0.35"/>
    <row r="112" s="5" customFormat="1" x14ac:dyDescent="0.35"/>
    <row r="113" s="5" customFormat="1" x14ac:dyDescent="0.35"/>
    <row r="114" s="5" customFormat="1" x14ac:dyDescent="0.35"/>
    <row r="115" s="5" customFormat="1" x14ac:dyDescent="0.35"/>
    <row r="116" s="5" customFormat="1" x14ac:dyDescent="0.35"/>
    <row r="117" s="5" customFormat="1" x14ac:dyDescent="0.35"/>
    <row r="118" s="5" customFormat="1" x14ac:dyDescent="0.35"/>
    <row r="119" s="5" customFormat="1" x14ac:dyDescent="0.35"/>
    <row r="120" s="5" customFormat="1" x14ac:dyDescent="0.35"/>
    <row r="121" s="5" customFormat="1" x14ac:dyDescent="0.35"/>
    <row r="122" s="5" customFormat="1" x14ac:dyDescent="0.35"/>
    <row r="123" s="5" customFormat="1" x14ac:dyDescent="0.35"/>
    <row r="124" s="5" customFormat="1" x14ac:dyDescent="0.35"/>
    <row r="125" s="5" customFormat="1" x14ac:dyDescent="0.35"/>
    <row r="126" s="5" customFormat="1" x14ac:dyDescent="0.35"/>
    <row r="127" s="5" customFormat="1" x14ac:dyDescent="0.35"/>
    <row r="128" s="5" customFormat="1" x14ac:dyDescent="0.35"/>
    <row r="129" s="5" customFormat="1" x14ac:dyDescent="0.35"/>
    <row r="130" s="5" customFormat="1" x14ac:dyDescent="0.35"/>
    <row r="131" s="5" customFormat="1" x14ac:dyDescent="0.35"/>
    <row r="132" s="5" customFormat="1" x14ac:dyDescent="0.35"/>
    <row r="133" s="5" customFormat="1" x14ac:dyDescent="0.35"/>
    <row r="134" s="5" customFormat="1" x14ac:dyDescent="0.35"/>
    <row r="135" s="5" customFormat="1" x14ac:dyDescent="0.35"/>
    <row r="136" s="5" customFormat="1" x14ac:dyDescent="0.35"/>
    <row r="137" s="5" customFormat="1" x14ac:dyDescent="0.35"/>
    <row r="138" s="5" customFormat="1" x14ac:dyDescent="0.35"/>
    <row r="139" s="5" customFormat="1" x14ac:dyDescent="0.35"/>
    <row r="140" s="5" customFormat="1" x14ac:dyDescent="0.35"/>
    <row r="141" s="5" customFormat="1" x14ac:dyDescent="0.35"/>
    <row r="142" s="5" customFormat="1" x14ac:dyDescent="0.35"/>
    <row r="143" s="5" customFormat="1" x14ac:dyDescent="0.35"/>
    <row r="144" s="5" customFormat="1" x14ac:dyDescent="0.35"/>
    <row r="145" s="5" customFormat="1" x14ac:dyDescent="0.35"/>
    <row r="146" s="5" customFormat="1" x14ac:dyDescent="0.35"/>
    <row r="147" s="5" customFormat="1" x14ac:dyDescent="0.35"/>
    <row r="148" s="5" customFormat="1" x14ac:dyDescent="0.35"/>
    <row r="149" s="5" customFormat="1" x14ac:dyDescent="0.35"/>
    <row r="150" s="5" customFormat="1" x14ac:dyDescent="0.35"/>
    <row r="151" s="5" customFormat="1" x14ac:dyDescent="0.35"/>
    <row r="152" s="5" customFormat="1" x14ac:dyDescent="0.35"/>
    <row r="153" s="5" customFormat="1" x14ac:dyDescent="0.35"/>
    <row r="154" s="5" customFormat="1" x14ac:dyDescent="0.35"/>
    <row r="155" s="5" customFormat="1" x14ac:dyDescent="0.35"/>
    <row r="156" s="5" customFormat="1" x14ac:dyDescent="0.35"/>
    <row r="157" s="5" customFormat="1" x14ac:dyDescent="0.35"/>
    <row r="158" s="5" customFormat="1" x14ac:dyDescent="0.35"/>
    <row r="159" s="5" customFormat="1" x14ac:dyDescent="0.35"/>
    <row r="160" s="5" customFormat="1" x14ac:dyDescent="0.35"/>
    <row r="161" s="5" customFormat="1" x14ac:dyDescent="0.35"/>
    <row r="162" s="5" customFormat="1" x14ac:dyDescent="0.35"/>
    <row r="163" s="5" customFormat="1" x14ac:dyDescent="0.35"/>
    <row r="164" s="5" customFormat="1" x14ac:dyDescent="0.35"/>
    <row r="165" s="5" customFormat="1" x14ac:dyDescent="0.35"/>
    <row r="166" s="5" customFormat="1" x14ac:dyDescent="0.35"/>
    <row r="167" s="5" customFormat="1" x14ac:dyDescent="0.35"/>
    <row r="168" s="5" customFormat="1" x14ac:dyDescent="0.35"/>
    <row r="169" s="5" customFormat="1" x14ac:dyDescent="0.35"/>
    <row r="170" s="5" customFormat="1" x14ac:dyDescent="0.35"/>
    <row r="171" s="5" customFormat="1" x14ac:dyDescent="0.35"/>
    <row r="172" s="5" customFormat="1" x14ac:dyDescent="0.35"/>
    <row r="173" s="5" customFormat="1" x14ac:dyDescent="0.35"/>
    <row r="174" s="5" customFormat="1" x14ac:dyDescent="0.35"/>
    <row r="175" s="5" customFormat="1" x14ac:dyDescent="0.35"/>
    <row r="176" s="5" customFormat="1" x14ac:dyDescent="0.35"/>
    <row r="177" s="5" customFormat="1" x14ac:dyDescent="0.35"/>
    <row r="178" s="5" customFormat="1" x14ac:dyDescent="0.35"/>
    <row r="179" s="5" customFormat="1" x14ac:dyDescent="0.35"/>
    <row r="180" s="5" customFormat="1" x14ac:dyDescent="0.35"/>
    <row r="181" s="5" customFormat="1" x14ac:dyDescent="0.35"/>
    <row r="182" s="5" customFormat="1" x14ac:dyDescent="0.35"/>
    <row r="183" s="5" customFormat="1" x14ac:dyDescent="0.35"/>
    <row r="184" s="5" customFormat="1" x14ac:dyDescent="0.35"/>
    <row r="185" s="5" customFormat="1" x14ac:dyDescent="0.35"/>
    <row r="186" s="5" customFormat="1" x14ac:dyDescent="0.35"/>
    <row r="187" s="5" customFormat="1" x14ac:dyDescent="0.35"/>
    <row r="188" s="5" customFormat="1" x14ac:dyDescent="0.35"/>
    <row r="189" s="5" customFormat="1" x14ac:dyDescent="0.35"/>
    <row r="190" s="5" customFormat="1" x14ac:dyDescent="0.35"/>
    <row r="191" s="5" customFormat="1" x14ac:dyDescent="0.35"/>
    <row r="192" s="5" customFormat="1" x14ac:dyDescent="0.35"/>
    <row r="193" s="5" customFormat="1" x14ac:dyDescent="0.35"/>
    <row r="194" s="5" customFormat="1" x14ac:dyDescent="0.35"/>
    <row r="195" s="5" customFormat="1" x14ac:dyDescent="0.35"/>
    <row r="196" s="5" customFormat="1" x14ac:dyDescent="0.35"/>
    <row r="197" s="5" customFormat="1" x14ac:dyDescent="0.35"/>
    <row r="198" s="5" customFormat="1" x14ac:dyDescent="0.35"/>
    <row r="199" s="5" customFormat="1" x14ac:dyDescent="0.35"/>
    <row r="200" s="5" customFormat="1" x14ac:dyDescent="0.35"/>
    <row r="201" s="5" customFormat="1" x14ac:dyDescent="0.35"/>
    <row r="202" s="5" customFormat="1" x14ac:dyDescent="0.35"/>
    <row r="203" s="5" customFormat="1" x14ac:dyDescent="0.35"/>
    <row r="204" s="5" customFormat="1" x14ac:dyDescent="0.35"/>
    <row r="205" s="5" customFormat="1" x14ac:dyDescent="0.35"/>
    <row r="206" s="5" customFormat="1" x14ac:dyDescent="0.35"/>
    <row r="207" s="5" customFormat="1" x14ac:dyDescent="0.35"/>
    <row r="208" s="5" customFormat="1" x14ac:dyDescent="0.35"/>
    <row r="209" s="5" customFormat="1" x14ac:dyDescent="0.35"/>
    <row r="210" s="5" customFormat="1" x14ac:dyDescent="0.35"/>
    <row r="211" s="5" customFormat="1" x14ac:dyDescent="0.35"/>
    <row r="212" s="5" customFormat="1" x14ac:dyDescent="0.35"/>
    <row r="213" s="5" customFormat="1" x14ac:dyDescent="0.35"/>
    <row r="214" s="5" customFormat="1" x14ac:dyDescent="0.35"/>
    <row r="215" s="5" customFormat="1" x14ac:dyDescent="0.35"/>
    <row r="216" s="5" customFormat="1" x14ac:dyDescent="0.35"/>
    <row r="217" s="5" customFormat="1" x14ac:dyDescent="0.35"/>
    <row r="218" s="5" customFormat="1" x14ac:dyDescent="0.35"/>
    <row r="219" s="5" customFormat="1" x14ac:dyDescent="0.35"/>
    <row r="220" s="5" customFormat="1" x14ac:dyDescent="0.35"/>
    <row r="221" s="5" customFormat="1" x14ac:dyDescent="0.35"/>
    <row r="222" s="5" customFormat="1" x14ac:dyDescent="0.35"/>
    <row r="223" s="5" customFormat="1" x14ac:dyDescent="0.35"/>
    <row r="224" s="5" customFormat="1" x14ac:dyDescent="0.35"/>
    <row r="225" s="5" customFormat="1" x14ac:dyDescent="0.35"/>
    <row r="226" s="5" customFormat="1" x14ac:dyDescent="0.35"/>
    <row r="227" s="5" customFormat="1" x14ac:dyDescent="0.35"/>
    <row r="228" s="5" customFormat="1" x14ac:dyDescent="0.35"/>
    <row r="229" s="5" customFormat="1" x14ac:dyDescent="0.35"/>
    <row r="230" s="5" customFormat="1" x14ac:dyDescent="0.35"/>
    <row r="231" s="5" customFormat="1" x14ac:dyDescent="0.35"/>
    <row r="232" s="5" customFormat="1" x14ac:dyDescent="0.35"/>
    <row r="233" s="5" customFormat="1" x14ac:dyDescent="0.35"/>
    <row r="234" s="5" customFormat="1" x14ac:dyDescent="0.35"/>
    <row r="235" s="5" customFormat="1" x14ac:dyDescent="0.35"/>
    <row r="236" s="5" customFormat="1" x14ac:dyDescent="0.35"/>
    <row r="237" s="5" customFormat="1" x14ac:dyDescent="0.35"/>
    <row r="238" s="5" customFormat="1" x14ac:dyDescent="0.35"/>
    <row r="239" s="5" customFormat="1" x14ac:dyDescent="0.35"/>
    <row r="240" s="5" customFormat="1" x14ac:dyDescent="0.35"/>
    <row r="241" s="5" customFormat="1" x14ac:dyDescent="0.35"/>
    <row r="242" s="5" customFormat="1" x14ac:dyDescent="0.35"/>
    <row r="243" s="5" customFormat="1" x14ac:dyDescent="0.35"/>
    <row r="244" s="5" customFormat="1" x14ac:dyDescent="0.35"/>
    <row r="245" s="5" customFormat="1" x14ac:dyDescent="0.35"/>
    <row r="246" s="5" customFormat="1" x14ac:dyDescent="0.35"/>
  </sheetData>
  <mergeCells count="6">
    <mergeCell ref="L8:M8"/>
    <mergeCell ref="B8:C8"/>
    <mergeCell ref="D8:E8"/>
    <mergeCell ref="F8:G8"/>
    <mergeCell ref="H8:I8"/>
    <mergeCell ref="J8:K8"/>
  </mergeCells>
  <conditionalFormatting sqref="B10:M39">
    <cfRule type="expression" dxfId="20" priority="1">
      <formula>$A10=""</formula>
    </cfRule>
  </conditionalFormatting>
  <hyperlinks>
    <hyperlink ref="P10" location="Inputs!A1" display="See Inputs tab for User Volume detail" xr:uid="{2BA2ECBE-E721-4ACE-86B4-B7D76CBBBDA2}"/>
  </hyperlink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F10" sqref="F10"/>
    </sheetView>
  </sheetViews>
  <sheetFormatPr defaultColWidth="9.1796875" defaultRowHeight="14.5" x14ac:dyDescent="0.35"/>
  <cols>
    <col min="1" max="1" width="28.81640625" style="5" customWidth="1"/>
    <col min="2" max="2" width="39.54296875" style="5" bestFit="1" customWidth="1"/>
    <col min="3" max="3" width="30.1796875" style="5" customWidth="1"/>
    <col min="4" max="16384" width="9.1796875" style="5"/>
  </cols>
  <sheetData>
    <row r="1" spans="1:52" ht="20" thickBot="1" x14ac:dyDescent="0.5">
      <c r="A1" s="96" t="s">
        <v>218</v>
      </c>
    </row>
    <row r="2" spans="1:52" ht="15" thickTop="1" x14ac:dyDescent="0.35">
      <c r="A2" s="153" t="s">
        <v>181</v>
      </c>
      <c r="B2" s="152"/>
      <c r="C2" s="152"/>
      <c r="D2" s="152"/>
      <c r="E2" s="152"/>
      <c r="F2" s="152"/>
      <c r="G2" s="152"/>
      <c r="H2" s="152"/>
      <c r="I2" s="152"/>
    </row>
    <row r="3" spans="1:52" x14ac:dyDescent="0.35">
      <c r="A3" s="38" t="s">
        <v>204</v>
      </c>
    </row>
    <row r="4" spans="1:52" x14ac:dyDescent="0.35">
      <c r="A4" s="119">
        <v>3.1E-2</v>
      </c>
      <c r="B4" s="5" t="s">
        <v>333</v>
      </c>
    </row>
    <row r="5" spans="1:52" x14ac:dyDescent="0.35">
      <c r="A5" s="120">
        <v>0</v>
      </c>
      <c r="B5" s="5" t="s">
        <v>354</v>
      </c>
    </row>
    <row r="6" spans="1:52" x14ac:dyDescent="0.35">
      <c r="A6" s="29" t="s">
        <v>204</v>
      </c>
    </row>
    <row r="7" spans="1:52" ht="15" thickBot="1" x14ac:dyDescent="0.4">
      <c r="A7" s="97" t="s">
        <v>255</v>
      </c>
    </row>
    <row r="8" spans="1:52" x14ac:dyDescent="0.35">
      <c r="A8" s="115" t="s">
        <v>4</v>
      </c>
      <c r="B8" s="113" t="s">
        <v>157</v>
      </c>
      <c r="C8" s="108" t="s">
        <v>355</v>
      </c>
      <c r="E8" s="10" t="s">
        <v>161</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35">
      <c r="A9" s="30">
        <f>'Project Information'!B7</f>
        <v>2030</v>
      </c>
      <c r="B9" s="22">
        <f>Inputs!E21</f>
        <v>10416666.666666666</v>
      </c>
      <c r="C9" s="8">
        <f>B9/(1+$A$4)^(A9-Overview!$B$22)</f>
        <v>8412365.0418662336</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35">
      <c r="A10" s="1">
        <f>IF(A9&lt;$A$9+'Project Information'!$B$8-1,A9+1,"")</f>
        <v>2031</v>
      </c>
      <c r="B10" s="22">
        <f>Inputs!E22</f>
        <v>10416666.666666666</v>
      </c>
      <c r="C10" s="8">
        <f>IFERROR(B10/(1+$A$4)^(A10-Overview!$B$22),0)</f>
        <v>8159422.9310050756</v>
      </c>
      <c r="E10" s="13"/>
      <c r="F10" s="220" t="s">
        <v>424</v>
      </c>
      <c r="G10" s="219"/>
      <c r="H10" s="219"/>
      <c r="I10" s="219"/>
      <c r="J10" s="219"/>
      <c r="K10" s="219"/>
      <c r="L10" s="219"/>
      <c r="M10" s="219"/>
      <c r="N10" s="219"/>
      <c r="O10" s="219"/>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35">
      <c r="A11" s="1">
        <f>IF(A10&lt;$A$9+'Project Information'!$B$8-1,A10+1,"")</f>
        <v>2032</v>
      </c>
      <c r="B11" s="22">
        <f>Inputs!E23</f>
        <v>10416666.666666666</v>
      </c>
      <c r="C11" s="8">
        <f>IFERROR(B11/(1+$A$4)^(A11-Overview!$B$22),0)</f>
        <v>7914086.2570369318</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35">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35">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35">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35">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35">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35">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35">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35">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35">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35">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35">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35">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35">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35">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35">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35">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35">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35">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35">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35">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35">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35">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35">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35">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35">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35">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35">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35">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35">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35">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35">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35">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35">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35">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35">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35">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 thickBot="1" x14ac:dyDescent="0.4">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hyperlinks>
    <hyperlink ref="F10" location="Inputs!A1" display="See Inputs tab for User Volume detail" xr:uid="{C0F4A44B-9EBC-4EBA-AFDD-57507AE192C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topLeftCell="A4" zoomScale="66" zoomScaleNormal="100" workbookViewId="0">
      <selection activeCell="G15" sqref="G15"/>
    </sheetView>
  </sheetViews>
  <sheetFormatPr defaultColWidth="9.1796875" defaultRowHeight="14.5" x14ac:dyDescent="0.35"/>
  <cols>
    <col min="1" max="1" width="28.54296875" style="5" customWidth="1"/>
    <col min="2" max="2" width="42" style="5" customWidth="1"/>
    <col min="3" max="3" width="37.81640625" style="5" customWidth="1"/>
    <col min="4" max="4" width="46.54296875" style="5" customWidth="1"/>
    <col min="5" max="16384" width="9.1796875" style="5"/>
  </cols>
  <sheetData>
    <row r="1" spans="1:54" ht="20" thickBot="1" x14ac:dyDescent="0.5">
      <c r="A1" s="96" t="s">
        <v>221</v>
      </c>
    </row>
    <row r="2" spans="1:54" ht="15" thickTop="1" x14ac:dyDescent="0.35">
      <c r="A2" s="153" t="s">
        <v>356</v>
      </c>
      <c r="B2" s="152"/>
      <c r="C2" s="152"/>
      <c r="D2" s="152"/>
      <c r="E2" s="152"/>
    </row>
    <row r="3" spans="1:54" x14ac:dyDescent="0.35">
      <c r="A3" s="5" t="s">
        <v>204</v>
      </c>
    </row>
    <row r="4" spans="1:54" x14ac:dyDescent="0.35">
      <c r="A4" s="153" t="s">
        <v>318</v>
      </c>
      <c r="B4" s="153"/>
      <c r="C4" s="153"/>
      <c r="D4" s="153"/>
      <c r="E4" s="153"/>
      <c r="F4" s="153"/>
    </row>
    <row r="5" spans="1:54" x14ac:dyDescent="0.35">
      <c r="A5" s="5" t="s">
        <v>204</v>
      </c>
    </row>
    <row r="6" spans="1:54" ht="15" thickBot="1" x14ac:dyDescent="0.4">
      <c r="A6" s="97" t="s">
        <v>254</v>
      </c>
    </row>
    <row r="7" spans="1:54" x14ac:dyDescent="0.35">
      <c r="A7" s="107" t="s">
        <v>4</v>
      </c>
      <c r="B7" s="108" t="s">
        <v>171</v>
      </c>
      <c r="C7" s="108" t="s">
        <v>172</v>
      </c>
      <c r="D7" s="108" t="s">
        <v>163</v>
      </c>
      <c r="G7" s="10" t="s">
        <v>161</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35">
      <c r="A8" s="6">
        <f>'Project Information'!$B$9</f>
        <v>2033</v>
      </c>
      <c r="B8" s="22">
        <v>361084.01</v>
      </c>
      <c r="C8" s="22">
        <v>15000</v>
      </c>
      <c r="D8" s="26">
        <f>C8-B8</f>
        <v>-346084.01</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35">
      <c r="A9" s="1">
        <f>IF(A8&lt;'Project Information'!B$11,A8+1,"")</f>
        <v>2034</v>
      </c>
      <c r="B9" s="22">
        <v>551916.53029999998</v>
      </c>
      <c r="C9" s="22">
        <v>15000</v>
      </c>
      <c r="D9" s="8">
        <f t="shared" ref="D9:D37" si="0">C9-B9</f>
        <v>-536916.53029999998</v>
      </c>
      <c r="G9" s="13"/>
      <c r="H9" s="218" t="s">
        <v>439</v>
      </c>
      <c r="I9" s="219"/>
      <c r="J9" s="219"/>
      <c r="K9" s="219"/>
      <c r="L9" s="219"/>
      <c r="M9" s="219"/>
      <c r="N9" s="219"/>
      <c r="O9" s="219"/>
      <c r="P9" s="219"/>
      <c r="Q9" s="219"/>
      <c r="R9" s="219"/>
      <c r="S9" s="21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35">
      <c r="A10" s="1">
        <f>IF(A9&lt;'Project Information'!B$11,A9+1,"")</f>
        <v>2035</v>
      </c>
      <c r="B10" s="22">
        <v>785099.02620900003</v>
      </c>
      <c r="C10" s="22">
        <v>20000</v>
      </c>
      <c r="D10" s="8">
        <f t="shared" si="0"/>
        <v>-765099.02620900003</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35">
      <c r="A11" s="1">
        <f>IF(A10&lt;'Project Information'!B$11,A10+1,"")</f>
        <v>2036</v>
      </c>
      <c r="B11" s="22">
        <v>394566.24699526996</v>
      </c>
      <c r="C11" s="22">
        <v>20000</v>
      </c>
      <c r="D11" s="8">
        <f t="shared" si="0"/>
        <v>-374566.24699526996</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35">
      <c r="A12" s="1">
        <f>IF(A11&lt;'Project Information'!B$11,A11+1,"")</f>
        <v>2037</v>
      </c>
      <c r="B12" s="22">
        <v>406403.23440512805</v>
      </c>
      <c r="C12" s="22">
        <v>20000</v>
      </c>
      <c r="D12" s="8">
        <f t="shared" si="0"/>
        <v>-386403.23440512805</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35">
      <c r="A13" s="1">
        <f>IF(A12&lt;'Project Information'!B$11,A12+1,"")</f>
        <v>2038</v>
      </c>
      <c r="B13" s="22">
        <v>418595.33143728191</v>
      </c>
      <c r="C13" s="22">
        <v>20000</v>
      </c>
      <c r="D13" s="8">
        <f t="shared" si="0"/>
        <v>-398595.33143728191</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35">
      <c r="A14" s="1">
        <f>IF(A13&lt;'Project Information'!B$11,A13+1,"")</f>
        <v>2039</v>
      </c>
      <c r="B14" s="22">
        <v>431153.19138040039</v>
      </c>
      <c r="C14" s="22">
        <v>20000</v>
      </c>
      <c r="D14" s="8">
        <f t="shared" si="0"/>
        <v>-411153.19138040039</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35">
      <c r="A15" s="1">
        <f>IF(A14&lt;'Project Information'!B$11,A14+1,"")</f>
        <v>2040</v>
      </c>
      <c r="B15" s="22">
        <v>8450180.6720046438</v>
      </c>
      <c r="C15" s="22">
        <v>25000</v>
      </c>
      <c r="D15" s="8">
        <f t="shared" si="0"/>
        <v>-8425180.6720046438</v>
      </c>
      <c r="G15" s="319" t="s">
        <v>502</v>
      </c>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35">
      <c r="A16" s="1">
        <f>IF(A15&lt;'Project Information'!B$11,A15+1,"")</f>
        <v>2041</v>
      </c>
      <c r="B16" s="22">
        <v>457410.42073546676</v>
      </c>
      <c r="C16" s="22">
        <v>25000</v>
      </c>
      <c r="D16" s="8">
        <f t="shared" si="0"/>
        <v>-432410.42073546676</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35">
      <c r="A17" s="1">
        <f>IF(A16&lt;'Project Information'!B$11,A16+1,"")</f>
        <v>2042</v>
      </c>
      <c r="B17" s="22">
        <v>471132.73335753073</v>
      </c>
      <c r="C17" s="22">
        <v>25000</v>
      </c>
      <c r="D17" s="8">
        <f t="shared" si="0"/>
        <v>-446132.73335753073</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35">
      <c r="A18" s="1">
        <f>IF(A17&lt;'Project Information'!B$11,A17+1,"")</f>
        <v>2043</v>
      </c>
      <c r="B18" s="22">
        <v>485266.71535825665</v>
      </c>
      <c r="C18" s="22">
        <v>25000</v>
      </c>
      <c r="D18" s="8">
        <f t="shared" si="0"/>
        <v>-460266.71535825665</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35">
      <c r="A19" s="1">
        <f>IF(A18&lt;'Project Information'!B$11,A18+1,"")</f>
        <v>2044</v>
      </c>
      <c r="B19" s="22">
        <v>499824.71681900433</v>
      </c>
      <c r="C19" s="22">
        <v>25000</v>
      </c>
      <c r="D19" s="8">
        <f t="shared" si="0"/>
        <v>-474824.71681900433</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35">
      <c r="A20" s="1">
        <f>IF(A19&lt;'Project Information'!B$11,A19+1,"")</f>
        <v>2045</v>
      </c>
      <c r="B20" s="22">
        <v>876041.70525745698</v>
      </c>
      <c r="C20" s="22">
        <v>30000</v>
      </c>
      <c r="D20" s="8">
        <f t="shared" si="0"/>
        <v>-846041.70525745698</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35">
      <c r="A21" s="1">
        <f>IF(A20&lt;'Project Information'!B$11,A20+1,"")</f>
        <v>2046</v>
      </c>
      <c r="B21" s="22">
        <v>530264.04207328171</v>
      </c>
      <c r="C21" s="22">
        <v>30000</v>
      </c>
      <c r="D21" s="8">
        <f t="shared" si="0"/>
        <v>-500264.04207328171</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35">
      <c r="A22" s="1">
        <f>IF(A21&lt;'Project Information'!B$11,A21+1,"")</f>
        <v>2047</v>
      </c>
      <c r="B22" s="22">
        <v>546171.96333548019</v>
      </c>
      <c r="C22" s="22">
        <v>30000</v>
      </c>
      <c r="D22" s="8">
        <f t="shared" si="0"/>
        <v>-516171.96333548019</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35">
      <c r="A23" s="1">
        <f>IF(A22&lt;'Project Information'!B$11,A22+1,"")</f>
        <v>2048</v>
      </c>
      <c r="B23" s="22">
        <v>562557.12223554449</v>
      </c>
      <c r="C23" s="22">
        <v>7448668.5190312043</v>
      </c>
      <c r="D23" s="8">
        <f t="shared" si="0"/>
        <v>6886111.3967956603</v>
      </c>
      <c r="G23" s="319" t="s">
        <v>503</v>
      </c>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2049</v>
      </c>
      <c r="B24" s="22">
        <v>579433.83590261079</v>
      </c>
      <c r="C24" s="22">
        <v>30000</v>
      </c>
      <c r="D24" s="8">
        <f t="shared" si="0"/>
        <v>-549433.83590261079</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2050</v>
      </c>
      <c r="B25" s="22">
        <v>596816.85097968916</v>
      </c>
      <c r="C25" s="22">
        <v>1790000</v>
      </c>
      <c r="D25" s="8">
        <f t="shared" si="0"/>
        <v>1193183.149020311</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2051</v>
      </c>
      <c r="B26" s="22">
        <v>614721.35650907981</v>
      </c>
      <c r="C26" s="22">
        <v>35000</v>
      </c>
      <c r="D26" s="8">
        <f t="shared" si="0"/>
        <v>-579721.35650907981</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2052</v>
      </c>
      <c r="B27" s="22">
        <v>633162.99720435217</v>
      </c>
      <c r="C27" s="22">
        <v>85000</v>
      </c>
      <c r="D27" s="8">
        <f t="shared" si="0"/>
        <v>-548162.99720435217</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3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3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3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3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3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3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3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3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3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3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3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3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3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3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3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 thickBot="1" x14ac:dyDescent="0.4">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topLeftCell="A23" zoomScale="48" zoomScaleNormal="85" workbookViewId="0">
      <selection activeCell="L40" sqref="L40"/>
    </sheetView>
  </sheetViews>
  <sheetFormatPr defaultColWidth="9.1796875" defaultRowHeight="14.5" x14ac:dyDescent="0.35"/>
  <cols>
    <col min="1" max="1" width="38.453125" style="5" customWidth="1"/>
    <col min="2" max="2" width="25.26953125" style="5" customWidth="1"/>
    <col min="3" max="3" width="32.54296875" style="5" customWidth="1"/>
    <col min="4" max="4" width="22.7265625" style="5" customWidth="1"/>
    <col min="5" max="6" width="9.1796875" style="5"/>
    <col min="7" max="7" width="12.26953125" style="5" customWidth="1"/>
    <col min="8" max="8" width="18.90625" style="5" customWidth="1"/>
    <col min="9" max="9" width="18" style="5" bestFit="1" customWidth="1"/>
    <col min="10" max="10" width="22.54296875" style="5" customWidth="1"/>
    <col min="11" max="11" width="11" style="5" bestFit="1" customWidth="1"/>
    <col min="12" max="12" width="18" style="5" bestFit="1" customWidth="1"/>
    <col min="13" max="13" width="11.1796875" style="5" bestFit="1" customWidth="1"/>
    <col min="14" max="14" width="28.7265625" style="5" customWidth="1"/>
    <col min="15" max="15" width="19.08984375" style="5" bestFit="1" customWidth="1"/>
    <col min="16" max="16" width="20.81640625" style="5" bestFit="1" customWidth="1"/>
    <col min="17" max="19" width="4.36328125" style="5" bestFit="1" customWidth="1"/>
    <col min="20" max="21" width="5.36328125" style="5" bestFit="1" customWidth="1"/>
    <col min="22" max="22" width="7.6328125" style="5" bestFit="1" customWidth="1"/>
    <col min="23" max="23" width="9.36328125" style="5" bestFit="1" customWidth="1"/>
    <col min="24" max="16384" width="9.1796875" style="5"/>
  </cols>
  <sheetData>
    <row r="1" spans="1:9" ht="20" thickBot="1" x14ac:dyDescent="0.5">
      <c r="A1" s="96" t="s">
        <v>8</v>
      </c>
    </row>
    <row r="2" spans="1:9" ht="15" thickTop="1" x14ac:dyDescent="0.35">
      <c r="A2" s="152" t="s">
        <v>244</v>
      </c>
      <c r="B2" s="152"/>
      <c r="C2" s="152"/>
      <c r="D2" s="152"/>
      <c r="E2" s="152"/>
      <c r="F2" s="152"/>
    </row>
    <row r="3" spans="1:9" x14ac:dyDescent="0.35">
      <c r="A3" s="5" t="s">
        <v>204</v>
      </c>
    </row>
    <row r="4" spans="1:9" x14ac:dyDescent="0.35">
      <c r="A4" s="153" t="s">
        <v>356</v>
      </c>
      <c r="B4" s="152"/>
      <c r="C4" s="152"/>
      <c r="D4" s="152"/>
      <c r="E4" s="152"/>
      <c r="F4" s="152"/>
      <c r="G4" s="152"/>
      <c r="H4" s="152"/>
      <c r="I4" s="152"/>
    </row>
    <row r="5" spans="1:9" x14ac:dyDescent="0.35">
      <c r="A5" s="38" t="s">
        <v>204</v>
      </c>
    </row>
    <row r="6" spans="1:9" x14ac:dyDescent="0.35">
      <c r="A6" s="97" t="s">
        <v>245</v>
      </c>
    </row>
    <row r="7" spans="1:9" x14ac:dyDescent="0.35">
      <c r="A7" s="116" t="s">
        <v>22</v>
      </c>
      <c r="B7" s="116" t="str">
        <f>'Parameter Values'!B6</f>
        <v>Monetized Value (2023 $)</v>
      </c>
    </row>
    <row r="8" spans="1:9" x14ac:dyDescent="0.35">
      <c r="A8" s="35" t="s">
        <v>23</v>
      </c>
      <c r="B8" s="40">
        <f>'Parameter Values'!B7</f>
        <v>5300</v>
      </c>
    </row>
    <row r="9" spans="1:9" x14ac:dyDescent="0.35">
      <c r="A9" s="35" t="s">
        <v>24</v>
      </c>
      <c r="B9" s="40">
        <f>'Parameter Values'!B8</f>
        <v>118000</v>
      </c>
    </row>
    <row r="10" spans="1:9" x14ac:dyDescent="0.35">
      <c r="A10" s="35" t="s">
        <v>25</v>
      </c>
      <c r="B10" s="40">
        <f>'Parameter Values'!B9</f>
        <v>246900</v>
      </c>
    </row>
    <row r="11" spans="1:9" x14ac:dyDescent="0.35">
      <c r="A11" s="35" t="s">
        <v>26</v>
      </c>
      <c r="B11" s="40">
        <f>'Parameter Values'!B10</f>
        <v>1254700</v>
      </c>
    </row>
    <row r="12" spans="1:9" x14ac:dyDescent="0.35">
      <c r="A12" s="35" t="s">
        <v>27</v>
      </c>
      <c r="B12" s="40">
        <f>'Parameter Values'!B11</f>
        <v>13200000</v>
      </c>
    </row>
    <row r="13" spans="1:9" x14ac:dyDescent="0.35">
      <c r="A13" s="35" t="s">
        <v>28</v>
      </c>
      <c r="B13" s="40">
        <f>'Parameter Values'!B12</f>
        <v>229800</v>
      </c>
    </row>
    <row r="14" spans="1:9" x14ac:dyDescent="0.35">
      <c r="A14" s="129" t="s">
        <v>204</v>
      </c>
      <c r="B14" s="130"/>
    </row>
    <row r="15" spans="1:9" x14ac:dyDescent="0.35">
      <c r="A15" s="35" t="s">
        <v>29</v>
      </c>
    </row>
    <row r="16" spans="1:9" x14ac:dyDescent="0.35">
      <c r="A16" s="35" t="s">
        <v>266</v>
      </c>
      <c r="B16" s="40">
        <f>'Parameter Values'!B15</f>
        <v>9500</v>
      </c>
    </row>
    <row r="17" spans="1:54" x14ac:dyDescent="0.35">
      <c r="A17" s="35" t="s">
        <v>30</v>
      </c>
      <c r="B17" s="40">
        <f>'Parameter Values'!B16</f>
        <v>329500</v>
      </c>
    </row>
    <row r="18" spans="1:54" x14ac:dyDescent="0.35">
      <c r="A18" s="35" t="s">
        <v>31</v>
      </c>
      <c r="B18" s="40">
        <f>'Parameter Values'!B17</f>
        <v>14806000</v>
      </c>
    </row>
    <row r="19" spans="1:54" x14ac:dyDescent="0.35">
      <c r="A19" s="5" t="s">
        <v>204</v>
      </c>
    </row>
    <row r="20" spans="1:54" ht="15" thickBot="1" x14ac:dyDescent="0.4">
      <c r="A20" s="97" t="s">
        <v>246</v>
      </c>
    </row>
    <row r="21" spans="1:54" x14ac:dyDescent="0.35">
      <c r="A21" s="107" t="s">
        <v>4</v>
      </c>
      <c r="B21" s="108" t="s">
        <v>173</v>
      </c>
      <c r="C21" s="108" t="s">
        <v>174</v>
      </c>
      <c r="D21" s="114" t="s">
        <v>168</v>
      </c>
      <c r="G21" s="10" t="s">
        <v>161</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35">
      <c r="A22" s="6">
        <f>'Project Information'!$B$9</f>
        <v>2033</v>
      </c>
      <c r="B22" s="22">
        <f>J34</f>
        <v>8904166.6666666679</v>
      </c>
      <c r="C22" s="22">
        <f>M34</f>
        <v>5609625</v>
      </c>
      <c r="D22" s="26">
        <f>B22-C22</f>
        <v>3294541.6666666679</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ht="58" x14ac:dyDescent="0.35">
      <c r="A23" s="1">
        <f>IF(A22&lt;'Project Information'!B$11,A22+1,"")</f>
        <v>2034</v>
      </c>
      <c r="B23" s="22">
        <f>B22*(1+(Inputs!D$6/20))</f>
        <v>8921975.0000000019</v>
      </c>
      <c r="C23" s="22">
        <f>C22*(1+(Inputs!E$6/20))</f>
        <v>5620844.25</v>
      </c>
      <c r="D23" s="8">
        <f t="shared" ref="D23:D51" si="0">B23-C23</f>
        <v>3301130.7500000019</v>
      </c>
      <c r="G23" s="13"/>
      <c r="H23"/>
      <c r="I23"/>
      <c r="J23"/>
      <c r="K23"/>
      <c r="L23"/>
      <c r="M23"/>
      <c r="N23"/>
      <c r="O23"/>
      <c r="P23" s="257" t="s">
        <v>460</v>
      </c>
      <c r="Q23" s="246" t="s">
        <v>392</v>
      </c>
      <c r="R23" s="246" t="s">
        <v>391</v>
      </c>
      <c r="S23" s="246" t="s">
        <v>390</v>
      </c>
      <c r="T23" s="246" t="s">
        <v>389</v>
      </c>
      <c r="U23" s="246" t="s">
        <v>461</v>
      </c>
      <c r="V23" s="248" t="s">
        <v>463</v>
      </c>
      <c r="W23" s="251" t="s">
        <v>465</v>
      </c>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35">
      <c r="A24" s="1">
        <f>IF(A23&lt;'Project Information'!B$11,A23+1,"")</f>
        <v>2035</v>
      </c>
      <c r="B24" s="22">
        <f>B23*(1+(Inputs!D$6/20))</f>
        <v>8939818.9500000011</v>
      </c>
      <c r="C24" s="22">
        <f>C23*(1+(Inputs!E$6/20))</f>
        <v>5632085.9385000002</v>
      </c>
      <c r="D24" s="8">
        <f t="shared" si="0"/>
        <v>3307733.011500001</v>
      </c>
      <c r="G24" s="13"/>
      <c r="H24"/>
      <c r="I24"/>
      <c r="J24"/>
      <c r="K24"/>
      <c r="L24"/>
      <c r="M24"/>
      <c r="N24"/>
      <c r="O24"/>
      <c r="P24" s="258">
        <v>1</v>
      </c>
      <c r="Q24" s="245">
        <v>0</v>
      </c>
      <c r="R24" s="245">
        <v>0</v>
      </c>
      <c r="S24" s="245">
        <v>2</v>
      </c>
      <c r="T24" s="245">
        <v>5</v>
      </c>
      <c r="U24" s="245">
        <v>15</v>
      </c>
      <c r="V24" s="249">
        <f>SUM(Q24:U24)</f>
        <v>22</v>
      </c>
      <c r="W24" s="255">
        <f t="shared" ref="W24:W32" si="1">V24/3</f>
        <v>7.333333333333333</v>
      </c>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35">
      <c r="A25" s="1">
        <f>IF(A24&lt;'Project Information'!B$11,A24+1,"")</f>
        <v>2036</v>
      </c>
      <c r="B25" s="22">
        <f>B24*(1+(Inputs!D$6/20))</f>
        <v>8957698.5879000016</v>
      </c>
      <c r="C25" s="22">
        <f>C24*(1+(Inputs!E$6/20))</f>
        <v>5643350.1103769997</v>
      </c>
      <c r="D25" s="8">
        <f t="shared" si="0"/>
        <v>3314348.4775230018</v>
      </c>
      <c r="G25" s="13"/>
      <c r="H25" s="92"/>
      <c r="I25" s="316" t="s">
        <v>397</v>
      </c>
      <c r="J25" s="316"/>
      <c r="K25" s="58"/>
      <c r="L25" s="317" t="s">
        <v>398</v>
      </c>
      <c r="M25" s="318"/>
      <c r="N25"/>
      <c r="O25"/>
      <c r="P25" s="258">
        <v>2</v>
      </c>
      <c r="Q25" s="245">
        <v>0</v>
      </c>
      <c r="R25" s="245">
        <v>1</v>
      </c>
      <c r="S25" s="245">
        <v>3</v>
      </c>
      <c r="T25" s="245">
        <v>9</v>
      </c>
      <c r="U25" s="245">
        <v>41</v>
      </c>
      <c r="V25" s="249">
        <f t="shared" ref="V25:V30" si="2">SUM(Q25:U25)</f>
        <v>54</v>
      </c>
      <c r="W25" s="255">
        <f t="shared" si="1"/>
        <v>18</v>
      </c>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35">
      <c r="A26" s="1">
        <f>IF(A25&lt;'Project Information'!B$11,A25+1,"")</f>
        <v>2037</v>
      </c>
      <c r="B26" s="22">
        <f>B25*(1+(Inputs!D$6/20))</f>
        <v>8975613.9850758016</v>
      </c>
      <c r="C26" s="22">
        <f>C25*(1+(Inputs!E$6/20))</f>
        <v>5654636.8105977541</v>
      </c>
      <c r="D26" s="8">
        <f t="shared" si="0"/>
        <v>3320977.1744780475</v>
      </c>
      <c r="G26" s="13"/>
      <c r="H26" s="62"/>
      <c r="I26" t="s">
        <v>395</v>
      </c>
      <c r="J26" t="s">
        <v>213</v>
      </c>
      <c r="K26" t="s">
        <v>396</v>
      </c>
      <c r="L26" t="s">
        <v>395</v>
      </c>
      <c r="M26" s="60" t="s">
        <v>213</v>
      </c>
      <c r="N26"/>
      <c r="O26"/>
      <c r="P26" s="258">
        <v>3</v>
      </c>
      <c r="Q26" s="245">
        <v>0</v>
      </c>
      <c r="R26" s="245">
        <v>1</v>
      </c>
      <c r="S26" s="245">
        <v>1</v>
      </c>
      <c r="T26" s="245">
        <v>2</v>
      </c>
      <c r="U26" s="245">
        <v>12</v>
      </c>
      <c r="V26" s="249">
        <f t="shared" si="2"/>
        <v>16</v>
      </c>
      <c r="W26" s="255">
        <f t="shared" si="1"/>
        <v>5.333333333333333</v>
      </c>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35">
      <c r="A27" s="1">
        <f>IF(A26&lt;'Project Information'!B$11,A26+1,"")</f>
        <v>2038</v>
      </c>
      <c r="B27" s="22">
        <f>B26*(1+(Inputs!D$6/20))</f>
        <v>8993565.2130459528</v>
      </c>
      <c r="C27" s="22">
        <f>C26*(1+(Inputs!E$6/20))</f>
        <v>5665946.08421895</v>
      </c>
      <c r="D27" s="8">
        <f t="shared" si="0"/>
        <v>3327619.1288270028</v>
      </c>
      <c r="G27" s="13"/>
      <c r="H27" s="62" t="s">
        <v>388</v>
      </c>
      <c r="I27" s="273">
        <v>0</v>
      </c>
      <c r="J27" s="198">
        <f t="shared" ref="J27:J32" si="3">I27*$B8</f>
        <v>0</v>
      </c>
      <c r="K27" s="201">
        <v>0</v>
      </c>
      <c r="L27">
        <f>I27*(1-K27)</f>
        <v>0</v>
      </c>
      <c r="M27" s="274">
        <f t="shared" ref="M27:M32" si="4">L27*$B8</f>
        <v>0</v>
      </c>
      <c r="N27"/>
      <c r="O27"/>
      <c r="P27" s="258">
        <v>4</v>
      </c>
      <c r="Q27" s="245">
        <v>1</v>
      </c>
      <c r="R27" s="245">
        <v>0</v>
      </c>
      <c r="S27" s="245">
        <v>2</v>
      </c>
      <c r="T27" s="245">
        <v>3</v>
      </c>
      <c r="U27" s="245">
        <v>22</v>
      </c>
      <c r="V27" s="249">
        <f t="shared" si="2"/>
        <v>28</v>
      </c>
      <c r="W27" s="255">
        <f t="shared" si="1"/>
        <v>9.3333333333333339</v>
      </c>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35">
      <c r="A28" s="1">
        <f>IF(A27&lt;'Project Information'!B$11,A27+1,"")</f>
        <v>2039</v>
      </c>
      <c r="B28" s="22">
        <f>B27*(1+(Inputs!D$6/20))</f>
        <v>9011552.3434720449</v>
      </c>
      <c r="C28" s="22">
        <f>C27*(1+(Inputs!E$6/20))</f>
        <v>5677277.9763873881</v>
      </c>
      <c r="D28" s="8">
        <f t="shared" si="0"/>
        <v>3334274.3670846568</v>
      </c>
      <c r="G28" s="13"/>
      <c r="H28" s="62" t="s">
        <v>389</v>
      </c>
      <c r="I28" s="275">
        <f>T32</f>
        <v>11.333333333333334</v>
      </c>
      <c r="J28" s="198">
        <f t="shared" si="3"/>
        <v>1337333.3333333335</v>
      </c>
      <c r="K28" s="201">
        <f t="shared" ref="K28:K33" si="5">$K$45</f>
        <v>0.37</v>
      </c>
      <c r="L28">
        <f t="shared" ref="L28:L33" si="6">I28*(1-K28)</f>
        <v>7.1400000000000006</v>
      </c>
      <c r="M28" s="274">
        <f t="shared" si="4"/>
        <v>842520.00000000012</v>
      </c>
      <c r="N28"/>
      <c r="O28"/>
      <c r="P28" s="258">
        <v>5</v>
      </c>
      <c r="Q28" s="245">
        <v>0</v>
      </c>
      <c r="R28" s="245">
        <v>0</v>
      </c>
      <c r="S28" s="245">
        <v>1</v>
      </c>
      <c r="T28" s="245">
        <v>2</v>
      </c>
      <c r="U28" s="245">
        <v>20</v>
      </c>
      <c r="V28" s="249">
        <f t="shared" si="2"/>
        <v>23</v>
      </c>
      <c r="W28" s="255">
        <f t="shared" si="1"/>
        <v>7.666666666666667</v>
      </c>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35">
      <c r="A29" s="1">
        <f>IF(A28&lt;'Project Information'!B$11,A28+1,"")</f>
        <v>2040</v>
      </c>
      <c r="B29" s="22">
        <f>B28*(1+(Inputs!D$6/20))</f>
        <v>9029575.4481589887</v>
      </c>
      <c r="C29" s="22">
        <f>C28*(1+(Inputs!E$6/20))</f>
        <v>5688632.5323401624</v>
      </c>
      <c r="D29" s="8">
        <f t="shared" si="0"/>
        <v>3340942.9158188263</v>
      </c>
      <c r="G29" s="13"/>
      <c r="H29" s="62" t="s">
        <v>390</v>
      </c>
      <c r="I29" s="275">
        <f>S32</f>
        <v>5.333333333333333</v>
      </c>
      <c r="J29" s="198">
        <f t="shared" si="3"/>
        <v>1316800</v>
      </c>
      <c r="K29" s="201">
        <f t="shared" si="5"/>
        <v>0.37</v>
      </c>
      <c r="L29">
        <f t="shared" si="6"/>
        <v>3.36</v>
      </c>
      <c r="M29" s="274">
        <f t="shared" si="4"/>
        <v>829584</v>
      </c>
      <c r="N29"/>
      <c r="O29"/>
      <c r="P29" s="258">
        <v>6</v>
      </c>
      <c r="Q29" s="245">
        <v>0</v>
      </c>
      <c r="R29" s="245">
        <v>1</v>
      </c>
      <c r="S29" s="245">
        <v>3</v>
      </c>
      <c r="T29" s="245">
        <v>7</v>
      </c>
      <c r="U29" s="245">
        <v>30</v>
      </c>
      <c r="V29" s="249">
        <f t="shared" si="2"/>
        <v>41</v>
      </c>
      <c r="W29" s="255">
        <f t="shared" si="1"/>
        <v>13.666666666666666</v>
      </c>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35">
      <c r="A30" s="1">
        <f>IF(A29&lt;'Project Information'!B$11,A29+1,"")</f>
        <v>2041</v>
      </c>
      <c r="B30" s="22">
        <f>B29*(1+(Inputs!D$6/20))</f>
        <v>9047634.599055307</v>
      </c>
      <c r="C30" s="22">
        <f>C29*(1+(Inputs!E$6/20))</f>
        <v>5700009.7974048425</v>
      </c>
      <c r="D30" s="8">
        <f t="shared" si="0"/>
        <v>3347624.8016504645</v>
      </c>
      <c r="G30" s="13"/>
      <c r="H30" s="62" t="s">
        <v>391</v>
      </c>
      <c r="I30" s="275">
        <f>R32</f>
        <v>1</v>
      </c>
      <c r="J30" s="198">
        <f t="shared" si="3"/>
        <v>1254700</v>
      </c>
      <c r="K30" s="201">
        <f t="shared" si="5"/>
        <v>0.37</v>
      </c>
      <c r="L30">
        <f t="shared" si="6"/>
        <v>0.63</v>
      </c>
      <c r="M30" s="274">
        <f t="shared" si="4"/>
        <v>790461</v>
      </c>
      <c r="N30"/>
      <c r="O30"/>
      <c r="P30" s="258">
        <v>7</v>
      </c>
      <c r="Q30" s="245">
        <v>0</v>
      </c>
      <c r="R30" s="245">
        <v>0</v>
      </c>
      <c r="S30" s="245">
        <v>4</v>
      </c>
      <c r="T30" s="245">
        <v>6</v>
      </c>
      <c r="U30" s="245">
        <v>48</v>
      </c>
      <c r="V30" s="249">
        <f t="shared" si="2"/>
        <v>58</v>
      </c>
      <c r="W30" s="255">
        <f t="shared" si="1"/>
        <v>19.333333333333332</v>
      </c>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35">
      <c r="A31" s="1">
        <f>IF(A30&lt;'Project Information'!B$11,A30+1,"")</f>
        <v>2042</v>
      </c>
      <c r="B31" s="22">
        <f>B30*(1+(Inputs!D$6/20))</f>
        <v>9065729.8682534173</v>
      </c>
      <c r="C31" s="22">
        <f>C30*(1+(Inputs!E$6/20))</f>
        <v>5711409.8169996524</v>
      </c>
      <c r="D31" s="8">
        <f t="shared" si="0"/>
        <v>3354320.0512537649</v>
      </c>
      <c r="G31" s="13"/>
      <c r="H31" s="62" t="s">
        <v>392</v>
      </c>
      <c r="I31" s="275">
        <f>Q32</f>
        <v>0.33333333333333331</v>
      </c>
      <c r="J31" s="198">
        <f t="shared" si="3"/>
        <v>4400000</v>
      </c>
      <c r="K31" s="201">
        <f t="shared" si="5"/>
        <v>0.37</v>
      </c>
      <c r="L31">
        <f t="shared" si="6"/>
        <v>0.21</v>
      </c>
      <c r="M31" s="274">
        <f t="shared" si="4"/>
        <v>2772000</v>
      </c>
      <c r="N31"/>
      <c r="O31"/>
      <c r="P31" s="259" t="s">
        <v>462</v>
      </c>
      <c r="Q31" s="247">
        <f>SUM(Q24:Q30)</f>
        <v>1</v>
      </c>
      <c r="R31" s="247">
        <f t="shared" ref="R31:V31" si="7">SUM(R24:R30)</f>
        <v>3</v>
      </c>
      <c r="S31" s="247">
        <f t="shared" si="7"/>
        <v>16</v>
      </c>
      <c r="T31" s="247">
        <f t="shared" si="7"/>
        <v>34</v>
      </c>
      <c r="U31" s="247">
        <f t="shared" si="7"/>
        <v>188</v>
      </c>
      <c r="V31" s="250">
        <f t="shared" si="7"/>
        <v>242</v>
      </c>
      <c r="W31" s="256">
        <f t="shared" si="1"/>
        <v>80.666666666666671</v>
      </c>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35">
      <c r="A32" s="1">
        <f>IF(A31&lt;'Project Information'!B$11,A31+1,"")</f>
        <v>2043</v>
      </c>
      <c r="B32" s="22">
        <f>B31*(1+(Inputs!D$6/20))</f>
        <v>9083861.3279899247</v>
      </c>
      <c r="C32" s="22">
        <f>C31*(1+(Inputs!E$6/20))</f>
        <v>5722832.6366336513</v>
      </c>
      <c r="D32" s="8">
        <f t="shared" si="0"/>
        <v>3361028.6913562734</v>
      </c>
      <c r="G32" s="13"/>
      <c r="H32" s="62" t="s">
        <v>393</v>
      </c>
      <c r="I32" s="273">
        <v>0</v>
      </c>
      <c r="J32" s="198">
        <f t="shared" si="3"/>
        <v>0</v>
      </c>
      <c r="K32" s="201">
        <f t="shared" si="5"/>
        <v>0.37</v>
      </c>
      <c r="L32">
        <f t="shared" si="6"/>
        <v>0</v>
      </c>
      <c r="M32" s="274">
        <f t="shared" si="4"/>
        <v>0</v>
      </c>
      <c r="N32"/>
      <c r="O32"/>
      <c r="P32" s="252" t="s">
        <v>464</v>
      </c>
      <c r="Q32" s="253">
        <f>Q31/3</f>
        <v>0.33333333333333331</v>
      </c>
      <c r="R32" s="253">
        <f t="shared" ref="R32:V32" si="8">R31/3</f>
        <v>1</v>
      </c>
      <c r="S32" s="253">
        <f t="shared" si="8"/>
        <v>5.333333333333333</v>
      </c>
      <c r="T32" s="253">
        <f t="shared" si="8"/>
        <v>11.333333333333334</v>
      </c>
      <c r="U32" s="253">
        <f t="shared" si="8"/>
        <v>62.666666666666664</v>
      </c>
      <c r="V32" s="253">
        <f t="shared" si="8"/>
        <v>80.666666666666671</v>
      </c>
      <c r="W32" s="254">
        <f t="shared" si="1"/>
        <v>26.888888888888889</v>
      </c>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35">
      <c r="A33" s="1">
        <f>IF(A32&lt;'Project Information'!B$11,A32+1,"")</f>
        <v>2044</v>
      </c>
      <c r="B33" s="22">
        <f>B32*(1+(Inputs!D$6/20))</f>
        <v>9102029.0506459046</v>
      </c>
      <c r="C33" s="22">
        <f>C32*(1+(Inputs!E$6/20))</f>
        <v>5734278.3019069191</v>
      </c>
      <c r="D33" s="8">
        <f t="shared" si="0"/>
        <v>3367750.7487389855</v>
      </c>
      <c r="G33" s="13"/>
      <c r="H33" s="62" t="s">
        <v>394</v>
      </c>
      <c r="I33" s="275">
        <f>U32</f>
        <v>62.666666666666664</v>
      </c>
      <c r="J33" s="198">
        <f>I33*$B16</f>
        <v>595333.33333333326</v>
      </c>
      <c r="K33" s="201">
        <f t="shared" si="5"/>
        <v>0.37</v>
      </c>
      <c r="L33">
        <f t="shared" si="6"/>
        <v>39.479999999999997</v>
      </c>
      <c r="M33" s="274">
        <f>L33*$B16</f>
        <v>375059.99999999994</v>
      </c>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35">
      <c r="A34" s="1">
        <f>IF(A33&lt;'Project Information'!B$11,A33+1,"")</f>
        <v>2045</v>
      </c>
      <c r="B34" s="22">
        <f>B33*(1+(Inputs!D$6/20))</f>
        <v>9120233.1087471973</v>
      </c>
      <c r="C34" s="22">
        <f>C33*(1+(Inputs!E$6/20))</f>
        <v>5745746.8585107327</v>
      </c>
      <c r="D34" s="8">
        <f t="shared" si="0"/>
        <v>3374486.2502364647</v>
      </c>
      <c r="G34" s="13"/>
      <c r="H34" s="276" t="s">
        <v>21</v>
      </c>
      <c r="I34" s="277"/>
      <c r="J34" s="278">
        <f>SUM(J27:J33)</f>
        <v>8904166.6666666679</v>
      </c>
      <c r="K34" s="277"/>
      <c r="L34" s="277"/>
      <c r="M34" s="279">
        <f>SUM(M27:M33)</f>
        <v>5609625</v>
      </c>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35">
      <c r="A35" s="1">
        <f>IF(A34&lt;'Project Information'!B$11,A34+1,"")</f>
        <v>2046</v>
      </c>
      <c r="B35" s="22">
        <f>B34*(1+(Inputs!D$6/20))</f>
        <v>9138473.574964691</v>
      </c>
      <c r="C35" s="22">
        <f>C34*(1+(Inputs!E$6/20))</f>
        <v>5757238.352227754</v>
      </c>
      <c r="D35" s="8">
        <f t="shared" si="0"/>
        <v>3381235.222736937</v>
      </c>
      <c r="G35" s="13"/>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35">
      <c r="A36" s="1">
        <f>IF(A35&lt;'Project Information'!B$11,A35+1,"")</f>
        <v>2047</v>
      </c>
      <c r="B36" s="22">
        <f>B35*(1+(Inputs!D$6/20))</f>
        <v>9156750.5221146196</v>
      </c>
      <c r="C36" s="22">
        <f>C35*(1+(Inputs!E$6/20))</f>
        <v>5768752.8289322099</v>
      </c>
      <c r="D36" s="8">
        <f t="shared" si="0"/>
        <v>3387997.6931824097</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35">
      <c r="A37" s="1">
        <f>IF(A36&lt;'Project Information'!B$11,A36+1,"")</f>
        <v>2048</v>
      </c>
      <c r="B37" s="22">
        <f>B36*(1+(Inputs!D$6/20))</f>
        <v>9175064.0231588483</v>
      </c>
      <c r="C37" s="22">
        <f>C36*(1+(Inputs!E$6/20))</f>
        <v>5780290.3345900746</v>
      </c>
      <c r="D37" s="8">
        <f t="shared" si="0"/>
        <v>3394773.6885687737</v>
      </c>
      <c r="G37" s="13"/>
      <c r="H37" s="244"/>
      <c r="I37" s="320" t="s">
        <v>459</v>
      </c>
      <c r="J37" s="58" t="s">
        <v>454</v>
      </c>
      <c r="K37" s="58" t="s">
        <v>455</v>
      </c>
      <c r="L37" s="58" t="s">
        <v>456</v>
      </c>
      <c r="M37" s="58" t="s">
        <v>457</v>
      </c>
      <c r="N37" s="321" t="s">
        <v>458</v>
      </c>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35">
      <c r="A38" s="1">
        <f>IF(A37&lt;'Project Information'!B$11,A37+1,"")</f>
        <v>2049</v>
      </c>
      <c r="B38" s="22">
        <f>B37*(1+(Inputs!D$6/20))</f>
        <v>9193414.1512051653</v>
      </c>
      <c r="C38" s="22">
        <f>C37*(1+(Inputs!E$6/20))</f>
        <v>5791850.9152592551</v>
      </c>
      <c r="D38" s="8">
        <f t="shared" si="0"/>
        <v>3401563.2359459102</v>
      </c>
      <c r="G38" s="13"/>
      <c r="H38"/>
      <c r="I38" s="322">
        <v>9250</v>
      </c>
      <c r="J38" s="323">
        <v>0.75</v>
      </c>
      <c r="K38" s="324">
        <v>0.25</v>
      </c>
      <c r="L38" s="324">
        <v>0.25</v>
      </c>
      <c r="M38" s="324">
        <f>AVERAGE(K38:L38)</f>
        <v>0.25</v>
      </c>
      <c r="N38" s="325" t="s">
        <v>471</v>
      </c>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35">
      <c r="A39" s="1">
        <f>IF(A38&lt;'Project Information'!B$11,A38+1,"")</f>
        <v>2050</v>
      </c>
      <c r="B39" s="22">
        <f>B38*(1+(Inputs!D$6/20))</f>
        <v>9211800.9795075748</v>
      </c>
      <c r="C39" s="22">
        <f>C38*(1+(Inputs!E$6/20))</f>
        <v>5803434.6170897735</v>
      </c>
      <c r="D39" s="8">
        <f t="shared" si="0"/>
        <v>3408366.3624178013</v>
      </c>
      <c r="G39" s="13"/>
      <c r="H39"/>
      <c r="I39" s="322" t="s">
        <v>466</v>
      </c>
      <c r="J39" s="323" t="s">
        <v>467</v>
      </c>
      <c r="K39" s="324">
        <v>0.4</v>
      </c>
      <c r="L39" s="324">
        <v>0.4</v>
      </c>
      <c r="M39" s="324">
        <f t="shared" ref="M39:M41" si="9">AVERAGE(K39:L39)</f>
        <v>0.4</v>
      </c>
      <c r="N39" s="325" t="s">
        <v>470</v>
      </c>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35">
      <c r="A40" s="1">
        <f>IF(A39&lt;'Project Information'!B$11,A39+1,"")</f>
        <v>2051</v>
      </c>
      <c r="B40" s="22">
        <f>B39*(1+(Inputs!D$6/20))</f>
        <v>9230224.5814665891</v>
      </c>
      <c r="C40" s="22">
        <f>C39*(1+(Inputs!E$6/20))</f>
        <v>5815041.4863239527</v>
      </c>
      <c r="D40" s="8">
        <f t="shared" si="0"/>
        <v>3415183.0951426364</v>
      </c>
      <c r="G40" s="13"/>
      <c r="H40"/>
      <c r="I40" s="322" t="s">
        <v>505</v>
      </c>
      <c r="J40" s="326" t="s">
        <v>506</v>
      </c>
      <c r="K40" s="324">
        <v>0.69</v>
      </c>
      <c r="L40" s="324">
        <v>0.69</v>
      </c>
      <c r="M40" s="324">
        <f t="shared" si="9"/>
        <v>0.69</v>
      </c>
      <c r="N40" s="325" t="s">
        <v>472</v>
      </c>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35">
      <c r="A41" s="1">
        <f>IF(A40&lt;'Project Information'!B$11,A40+1,"")</f>
        <v>2052</v>
      </c>
      <c r="B41" s="22">
        <f>B40*(1+(Inputs!D$6/20))</f>
        <v>9248685.0306295231</v>
      </c>
      <c r="C41" s="22">
        <f>C40*(1+(Inputs!E$6/20))</f>
        <v>5826671.5692966003</v>
      </c>
      <c r="D41" s="8">
        <f t="shared" si="0"/>
        <v>3422013.4613329228</v>
      </c>
      <c r="G41" s="13"/>
      <c r="H41"/>
      <c r="I41" s="322" t="s">
        <v>468</v>
      </c>
      <c r="J41" s="323" t="s">
        <v>469</v>
      </c>
      <c r="K41" s="324">
        <f>1-J41</f>
        <v>0.14000000000000001</v>
      </c>
      <c r="L41" s="324">
        <v>0.14000000000000001</v>
      </c>
      <c r="M41" s="324">
        <f t="shared" si="9"/>
        <v>0.14000000000000001</v>
      </c>
      <c r="N41" s="325" t="s">
        <v>473</v>
      </c>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35">
      <c r="A42" s="1" t="str">
        <f>IF(A41&lt;'Project Information'!B$11,A41+1,"")</f>
        <v/>
      </c>
      <c r="B42" s="22">
        <v>0</v>
      </c>
      <c r="C42" s="22">
        <v>0</v>
      </c>
      <c r="D42" s="8">
        <f t="shared" si="0"/>
        <v>0</v>
      </c>
      <c r="G42" s="13"/>
      <c r="I42" s="327" t="s">
        <v>21</v>
      </c>
      <c r="J42" s="328"/>
      <c r="K42" s="329">
        <f>SUM(K38:K41)</f>
        <v>1.48</v>
      </c>
      <c r="L42" s="329">
        <f>SUM(L38:L41)</f>
        <v>1.48</v>
      </c>
      <c r="M42" s="329">
        <f>SUM(M38:M41)</f>
        <v>1.48</v>
      </c>
      <c r="N42" s="330"/>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35">
      <c r="A43" s="1" t="str">
        <f>IF(A42&lt;'Project Information'!B$11,A42+1,"")</f>
        <v/>
      </c>
      <c r="B43" s="22">
        <v>0</v>
      </c>
      <c r="C43" s="22">
        <v>0</v>
      </c>
      <c r="D43" s="8">
        <f t="shared" si="0"/>
        <v>0</v>
      </c>
      <c r="G43" s="1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ht="15" thickBot="1" x14ac:dyDescent="0.4">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ht="15" thickBot="1" x14ac:dyDescent="0.4">
      <c r="A45" s="1" t="str">
        <f>IF(A44&lt;'Project Information'!B$11,A44+1,"")</f>
        <v/>
      </c>
      <c r="B45" s="22">
        <v>0</v>
      </c>
      <c r="C45" s="22">
        <v>0</v>
      </c>
      <c r="D45" s="8">
        <f t="shared" si="0"/>
        <v>0</v>
      </c>
      <c r="G45" s="13"/>
      <c r="I45"/>
      <c r="J45" s="332" t="s">
        <v>504</v>
      </c>
      <c r="K45" s="331">
        <f>(K38+K39+K40+K41)/4</f>
        <v>0.37</v>
      </c>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3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3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3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3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3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35">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35">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3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3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3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3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3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3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3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3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3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3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3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3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3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3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3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3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3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3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3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3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3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3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3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3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3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3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3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3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3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3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3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3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3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3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3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3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3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3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3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3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3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3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3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3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3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3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3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3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3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3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3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3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3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3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3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3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3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3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 thickBot="1" x14ac:dyDescent="0.4">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mergeCells count="2">
    <mergeCell ref="I25:J25"/>
    <mergeCell ref="L25:M25"/>
  </mergeCells>
  <conditionalFormatting sqref="B22:B51 C23:C41">
    <cfRule type="expression" dxfId="16" priority="2">
      <formula>A22=""</formula>
    </cfRule>
  </conditionalFormatting>
  <conditionalFormatting sqref="C22 C42:C51">
    <cfRule type="expression" dxfId="15" priority="1">
      <formula>A22=""</formula>
    </cfRule>
  </conditionalFormatting>
  <hyperlinks>
    <hyperlink ref="N38" r:id="rId1" display="https://d5x8rk04.na1.hs-sales-engage.com/Ctc/UE+23284/d5x8Rk04/Jl22-6qcW7lCdLW6lZ3n8W5htXx_41vLD4W6xL_dd5-MQYdW5fJlNt6s_9ltW3cGdrn5tlJ2fW7bc-XV7FYwmjW6t7CHn1kqGd2W9k3Z2F5GmD1yW7DHGXX9c00rMW5_WhJm4D3tGYW51gbrd2sW5WlW5tV4_d4PV_QCW6zy-S87XNzr8VmdlkZ70D0XZVZ0fNC218P6bW5mVdrk4qZfZpW1QVtks7wldGFW44nk9H7rW_WvN2zLttK_Hl2jW39N6-P1YVNtHW6x-l2Z3LNP39N1sMJWkf3bfjN1nHXLt3YfPfW6_HsrH6ZhdjkW7_W9sT58xrD8f7tZ2sW04" xr:uid="{F86833D9-17F8-4A5A-A582-FE6FF611E1F0}"/>
  </hyperlinks>
  <pageMargins left="0.7" right="0.7" top="0.75" bottom="0.75" header="0.3" footer="0.3"/>
  <pageSetup orientation="portrait" r:id="rId2"/>
  <ignoredErrors>
    <ignoredError sqref="M38" formulaRange="1"/>
    <ignoredError sqref="J3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Overview</vt:lpstr>
      <vt:lpstr>Project Information</vt:lpstr>
      <vt:lpstr>Parameter Values</vt:lpstr>
      <vt:lpstr>Inputs</vt:lpstr>
      <vt:lpstr>Outputs</vt:lpstr>
      <vt:lpstr>User Volumes</vt:lpstr>
      <vt:lpstr>Capital Costs</vt:lpstr>
      <vt:lpstr>Operations and Maintenance</vt:lpstr>
      <vt:lpstr>Safety</vt:lpstr>
      <vt:lpstr>Travel Time Savings</vt:lpstr>
      <vt:lpstr>Vehicle Operating Cost Savings</vt:lpstr>
      <vt:lpstr>Emissions Reduction</vt:lpstr>
      <vt:lpstr>Amenity Benefits</vt:lpstr>
      <vt:lpstr>Health Benefits</vt:lpstr>
      <vt:lpstr>Summary</vt:lpstr>
      <vt:lpstr>Final Results</vt:lpstr>
      <vt:lpstr>Other Highway Use Externalities</vt:lpstr>
      <vt:lpstr>Residual Value</vt:lpstr>
      <vt:lpstr>Other Benefit 1</vt:lpstr>
      <vt:lpstr>Other Benefit 2</vt:lpstr>
      <vt:lpstr>Other Benefit 3</vt:lpstr>
      <vt:lpstr>Other Benefit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Oliver Lopez</cp:lastModifiedBy>
  <dcterms:created xsi:type="dcterms:W3CDTF">2023-03-14T14:10:51Z</dcterms:created>
  <dcterms:modified xsi:type="dcterms:W3CDTF">2025-01-28T21:33:41Z</dcterms:modified>
</cp:coreProperties>
</file>